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69\2017\"/>
    </mc:Choice>
  </mc:AlternateContent>
  <bookViews>
    <workbookView xWindow="0" yWindow="0" windowWidth="21570" windowHeight="4215" tabRatio="736" firstSheet="1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  <sheet name="C. Capacidad" sheetId="4695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E13" i="4695" l="1"/>
  <c r="S9" i="4695"/>
  <c r="S46" i="4695" s="1"/>
  <c r="AD9" i="4695"/>
  <c r="AD46" i="4695" s="1"/>
  <c r="AS4" i="4695"/>
  <c r="AN20" i="4695"/>
  <c r="AR20" i="4695" s="1"/>
  <c r="AE20" i="4695"/>
  <c r="AG20" i="4695" s="1"/>
  <c r="AJ20" i="4695" s="1"/>
  <c r="AN19" i="4695"/>
  <c r="AE19" i="4695"/>
  <c r="AN18" i="4695"/>
  <c r="AR18" i="4695" s="1"/>
  <c r="AE18" i="4695"/>
  <c r="AG18" i="4695" s="1"/>
  <c r="AJ18" i="4695" s="1"/>
  <c r="AN17" i="4695"/>
  <c r="AR17" i="4695" s="1"/>
  <c r="AE17" i="4695"/>
  <c r="AX61" i="4695"/>
  <c r="AX60" i="4695"/>
  <c r="AX59" i="4695"/>
  <c r="AX58" i="4695"/>
  <c r="AN57" i="4695"/>
  <c r="AE57" i="4695"/>
  <c r="AG57" i="4695" s="1"/>
  <c r="AJ57" i="4695" s="1"/>
  <c r="T57" i="4695"/>
  <c r="S57" i="4695"/>
  <c r="R57" i="4695"/>
  <c r="Q57" i="4695"/>
  <c r="AN56" i="4695"/>
  <c r="AR56" i="4695" s="1"/>
  <c r="AE56" i="4695"/>
  <c r="AG56" i="4695" s="1"/>
  <c r="AJ56" i="4695" s="1"/>
  <c r="AN55" i="4695"/>
  <c r="AE55" i="4695"/>
  <c r="AG55" i="4695" s="1"/>
  <c r="AJ55" i="4695" s="1"/>
  <c r="AN54" i="4695"/>
  <c r="AR54" i="4695" s="1"/>
  <c r="AE54" i="4695"/>
  <c r="AG54" i="4695" s="1"/>
  <c r="AJ54" i="4695" s="1"/>
  <c r="AG50" i="4695"/>
  <c r="E50" i="4695"/>
  <c r="AX42" i="4695"/>
  <c r="AX41" i="4695"/>
  <c r="AX40" i="4695"/>
  <c r="AX39" i="4695"/>
  <c r="AN38" i="4695"/>
  <c r="AR38" i="4695" s="1"/>
  <c r="AE38" i="4695"/>
  <c r="T38" i="4695"/>
  <c r="T56" i="4695" s="1"/>
  <c r="S38" i="4695"/>
  <c r="S56" i="4695" s="1"/>
  <c r="R38" i="4695"/>
  <c r="R56" i="4695" s="1"/>
  <c r="Q38" i="4695"/>
  <c r="Q56" i="4695" s="1"/>
  <c r="AN37" i="4695"/>
  <c r="AR37" i="4695" s="1"/>
  <c r="AE37" i="4695"/>
  <c r="AG37" i="4695" s="1"/>
  <c r="AJ37" i="4695" s="1"/>
  <c r="T37" i="4695"/>
  <c r="T55" i="4695" s="1"/>
  <c r="S37" i="4695"/>
  <c r="S55" i="4695" s="1"/>
  <c r="R37" i="4695"/>
  <c r="R55" i="4695" s="1"/>
  <c r="Q37" i="4695"/>
  <c r="Q55" i="4695" s="1"/>
  <c r="AN36" i="4695"/>
  <c r="AR36" i="4695" s="1"/>
  <c r="AE36" i="4695"/>
  <c r="AG36" i="4695" s="1"/>
  <c r="AJ36" i="4695" s="1"/>
  <c r="T36" i="4695"/>
  <c r="T54" i="4695" s="1"/>
  <c r="S36" i="4695"/>
  <c r="S54" i="4695" s="1"/>
  <c r="R36" i="4695"/>
  <c r="R54" i="4695" s="1"/>
  <c r="Q36" i="4695"/>
  <c r="Q54" i="4695" s="1"/>
  <c r="AN35" i="4695"/>
  <c r="AR35" i="4695" s="1"/>
  <c r="AE35" i="4695"/>
  <c r="AG35" i="4695" s="1"/>
  <c r="AJ35" i="4695" s="1"/>
  <c r="T35" i="4695"/>
  <c r="S35" i="4695"/>
  <c r="R35" i="4695"/>
  <c r="Q35" i="4695"/>
  <c r="AG31" i="4695"/>
  <c r="E31" i="4695"/>
  <c r="AX24" i="4695"/>
  <c r="AX23" i="4695"/>
  <c r="AX22" i="4695"/>
  <c r="AX21" i="4695"/>
  <c r="AG13" i="4695"/>
  <c r="AO36" i="4695" l="1"/>
  <c r="S27" i="4695"/>
  <c r="AO38" i="4695"/>
  <c r="AO17" i="4695"/>
  <c r="AO19" i="4695"/>
  <c r="AD27" i="4695"/>
  <c r="AG17" i="4695"/>
  <c r="AJ17" i="4695" s="1"/>
  <c r="AO18" i="4695"/>
  <c r="AG19" i="4695"/>
  <c r="AJ19" i="4695" s="1"/>
  <c r="AR19" i="4695"/>
  <c r="AO20" i="4695"/>
  <c r="AO35" i="4695"/>
  <c r="AO37" i="4695"/>
  <c r="AG38" i="4695"/>
  <c r="AJ38" i="4695" s="1"/>
  <c r="AO54" i="4695"/>
  <c r="AR55" i="4695"/>
  <c r="AO56" i="4695"/>
  <c r="AR57" i="4695"/>
  <c r="AO55" i="4695"/>
  <c r="AO57" i="4695"/>
  <c r="AC12" i="4677" l="1"/>
  <c r="AC11" i="4677"/>
  <c r="AC10" i="4677"/>
  <c r="AC12" i="4686"/>
  <c r="AC11" i="4686"/>
  <c r="AC10" i="4686"/>
  <c r="AC12" i="4684"/>
  <c r="AC11" i="4684"/>
  <c r="AC10" i="4684"/>
  <c r="AC10" i="4678"/>
  <c r="AC11" i="4678"/>
  <c r="AC12" i="4678"/>
  <c r="AI22" i="4677"/>
  <c r="AH22" i="4677"/>
  <c r="AG22" i="4677"/>
  <c r="AF22" i="4677"/>
  <c r="AP21" i="4677"/>
  <c r="AO21" i="4677"/>
  <c r="AN21" i="4677"/>
  <c r="AM21" i="4677"/>
  <c r="AI21" i="4677"/>
  <c r="AH21" i="4677"/>
  <c r="AG21" i="4677"/>
  <c r="AF21" i="4677"/>
  <c r="AP20" i="4677"/>
  <c r="AO20" i="4677"/>
  <c r="AN20" i="4677"/>
  <c r="AM20" i="4677"/>
  <c r="AI20" i="4677"/>
  <c r="AH20" i="4677"/>
  <c r="AG20" i="4677"/>
  <c r="AF20" i="4677"/>
  <c r="AP19" i="4677"/>
  <c r="AO19" i="4677"/>
  <c r="AN19" i="4677"/>
  <c r="AM19" i="4677"/>
  <c r="AI19" i="4677"/>
  <c r="AH19" i="4677"/>
  <c r="AG19" i="4677"/>
  <c r="AF19" i="4677"/>
  <c r="AB19" i="4677"/>
  <c r="AA19" i="4677"/>
  <c r="Z19" i="4677"/>
  <c r="Y19" i="4677"/>
  <c r="AP18" i="4677"/>
  <c r="AO18" i="4677"/>
  <c r="AN18" i="4677"/>
  <c r="AM18" i="4677"/>
  <c r="AI18" i="4677"/>
  <c r="AH18" i="4677"/>
  <c r="AG18" i="4677"/>
  <c r="AF18" i="4677"/>
  <c r="AB18" i="4677"/>
  <c r="AA18" i="4677"/>
  <c r="Z18" i="4677"/>
  <c r="Y18" i="4677"/>
  <c r="AP17" i="4677"/>
  <c r="AO17" i="4677"/>
  <c r="AN17" i="4677"/>
  <c r="AM17" i="4677"/>
  <c r="AI17" i="4677"/>
  <c r="AH17" i="4677"/>
  <c r="AG17" i="4677"/>
  <c r="AF17" i="4677"/>
  <c r="AB17" i="4677"/>
  <c r="AA17" i="4677"/>
  <c r="Z17" i="4677"/>
  <c r="Y17" i="4677"/>
  <c r="AP16" i="4677"/>
  <c r="AO16" i="4677"/>
  <c r="AN16" i="4677"/>
  <c r="AM16" i="4677"/>
  <c r="AI16" i="4677"/>
  <c r="AH16" i="4677"/>
  <c r="AG16" i="4677"/>
  <c r="AF16" i="4677"/>
  <c r="AB16" i="4677"/>
  <c r="AA16" i="4677"/>
  <c r="Z16" i="4677"/>
  <c r="Y16" i="4677"/>
  <c r="AP15" i="4677"/>
  <c r="AO15" i="4677"/>
  <c r="AN15" i="4677"/>
  <c r="AM15" i="4677"/>
  <c r="AI15" i="4677"/>
  <c r="AH15" i="4677"/>
  <c r="AG15" i="4677"/>
  <c r="AF15" i="4677"/>
  <c r="AB15" i="4677"/>
  <c r="AA15" i="4677"/>
  <c r="Z15" i="4677"/>
  <c r="Y15" i="4677"/>
  <c r="AP14" i="4677"/>
  <c r="AO14" i="4677"/>
  <c r="AN14" i="4677"/>
  <c r="AM14" i="4677"/>
  <c r="AI14" i="4677"/>
  <c r="AH14" i="4677"/>
  <c r="AG14" i="4677"/>
  <c r="AF14" i="4677"/>
  <c r="AB14" i="4677"/>
  <c r="AA14" i="4677"/>
  <c r="Z14" i="4677"/>
  <c r="Y14" i="4677"/>
  <c r="AP13" i="4677"/>
  <c r="AO13" i="4677"/>
  <c r="AN13" i="4677"/>
  <c r="AM13" i="4677"/>
  <c r="AI13" i="4677"/>
  <c r="AH13" i="4677"/>
  <c r="AG13" i="4677"/>
  <c r="AF13" i="4677"/>
  <c r="AB13" i="4677"/>
  <c r="AA13" i="4677"/>
  <c r="Z13" i="4677"/>
  <c r="Y13" i="4677"/>
  <c r="AI12" i="4677"/>
  <c r="AH12" i="4677"/>
  <c r="AG12" i="4677"/>
  <c r="AF12" i="4677"/>
  <c r="AI11" i="4677"/>
  <c r="AH11" i="4677"/>
  <c r="AG11" i="4677"/>
  <c r="AF11" i="4677"/>
  <c r="AI10" i="4677"/>
  <c r="AH10" i="4677"/>
  <c r="AG10" i="4677"/>
  <c r="AF10" i="4677"/>
  <c r="AI22" i="4686"/>
  <c r="AH22" i="4686"/>
  <c r="AG22" i="4686"/>
  <c r="AF22" i="4686"/>
  <c r="AP21" i="4686"/>
  <c r="AO21" i="4686"/>
  <c r="AN21" i="4686"/>
  <c r="AM21" i="4686"/>
  <c r="AI21" i="4686"/>
  <c r="AH21" i="4686"/>
  <c r="AG21" i="4686"/>
  <c r="AF21" i="4686"/>
  <c r="AP20" i="4686"/>
  <c r="AO20" i="4686"/>
  <c r="AN20" i="4686"/>
  <c r="AM20" i="4686"/>
  <c r="AI20" i="4686"/>
  <c r="AH20" i="4686"/>
  <c r="AG20" i="4686"/>
  <c r="AF20" i="4686"/>
  <c r="AP19" i="4686"/>
  <c r="AO19" i="4686"/>
  <c r="AN19" i="4686"/>
  <c r="AM19" i="4686"/>
  <c r="AI19" i="4686"/>
  <c r="AH19" i="4686"/>
  <c r="AG19" i="4686"/>
  <c r="AF19" i="4686"/>
  <c r="AB19" i="4686"/>
  <c r="AA19" i="4686"/>
  <c r="Z19" i="4686"/>
  <c r="Y19" i="4686"/>
  <c r="AP18" i="4686"/>
  <c r="AO18" i="4686"/>
  <c r="AN18" i="4686"/>
  <c r="AM18" i="4686"/>
  <c r="AI18" i="4686"/>
  <c r="AH18" i="4686"/>
  <c r="AG18" i="4686"/>
  <c r="AF18" i="4686"/>
  <c r="AB18" i="4686"/>
  <c r="AA18" i="4686"/>
  <c r="Z18" i="4686"/>
  <c r="Y18" i="4686"/>
  <c r="AP17" i="4686"/>
  <c r="AO17" i="4686"/>
  <c r="AN17" i="4686"/>
  <c r="AM17" i="4686"/>
  <c r="AI17" i="4686"/>
  <c r="AH17" i="4686"/>
  <c r="AG17" i="4686"/>
  <c r="AF17" i="4686"/>
  <c r="AB17" i="4686"/>
  <c r="AA17" i="4686"/>
  <c r="Z17" i="4686"/>
  <c r="Y17" i="4686"/>
  <c r="AP16" i="4686"/>
  <c r="AO16" i="4686"/>
  <c r="AN16" i="4686"/>
  <c r="AM16" i="4686"/>
  <c r="AI16" i="4686"/>
  <c r="AH16" i="4686"/>
  <c r="AG16" i="4686"/>
  <c r="AF16" i="4686"/>
  <c r="AB16" i="4686"/>
  <c r="AA16" i="4686"/>
  <c r="Z16" i="4686"/>
  <c r="Y16" i="4686"/>
  <c r="AP15" i="4686"/>
  <c r="AO15" i="4686"/>
  <c r="AN15" i="4686"/>
  <c r="AM15" i="4686"/>
  <c r="AI15" i="4686"/>
  <c r="AH15" i="4686"/>
  <c r="AG15" i="4686"/>
  <c r="AF15" i="4686"/>
  <c r="AB15" i="4686"/>
  <c r="AA15" i="4686"/>
  <c r="Z15" i="4686"/>
  <c r="Y15" i="4686"/>
  <c r="AP14" i="4686"/>
  <c r="AO14" i="4686"/>
  <c r="AN14" i="4686"/>
  <c r="AM14" i="4686"/>
  <c r="AI14" i="4686"/>
  <c r="AH14" i="4686"/>
  <c r="AG14" i="4686"/>
  <c r="AF14" i="4686"/>
  <c r="AB14" i="4686"/>
  <c r="AA14" i="4686"/>
  <c r="Z14" i="4686"/>
  <c r="Y14" i="4686"/>
  <c r="AP13" i="4686"/>
  <c r="AO13" i="4686"/>
  <c r="AN13" i="4686"/>
  <c r="AM13" i="4686"/>
  <c r="AI13" i="4686"/>
  <c r="AH13" i="4686"/>
  <c r="AG13" i="4686"/>
  <c r="AF13" i="4686"/>
  <c r="AB13" i="4686"/>
  <c r="AA13" i="4686"/>
  <c r="Z13" i="4686"/>
  <c r="Y13" i="4686"/>
  <c r="AI12" i="4686"/>
  <c r="AH12" i="4686"/>
  <c r="AG12" i="4686"/>
  <c r="AF12" i="4686"/>
  <c r="AI11" i="4686"/>
  <c r="AH11" i="4686"/>
  <c r="AG11" i="4686"/>
  <c r="AF11" i="4686"/>
  <c r="AI10" i="4686"/>
  <c r="AH10" i="4686"/>
  <c r="AG10" i="4686"/>
  <c r="AF10" i="4686"/>
  <c r="AI22" i="4684"/>
  <c r="AH22" i="4684"/>
  <c r="AG22" i="4684"/>
  <c r="AF22" i="4684"/>
  <c r="AP21" i="4684"/>
  <c r="AO21" i="4684"/>
  <c r="AN21" i="4684"/>
  <c r="AM21" i="4684"/>
  <c r="AI21" i="4684"/>
  <c r="AH21" i="4684"/>
  <c r="AG21" i="4684"/>
  <c r="AF21" i="4684"/>
  <c r="AP20" i="4684"/>
  <c r="AO20" i="4684"/>
  <c r="AN20" i="4684"/>
  <c r="AM20" i="4684"/>
  <c r="AI20" i="4684"/>
  <c r="AH20" i="4684"/>
  <c r="AG20" i="4684"/>
  <c r="AF20" i="4684"/>
  <c r="AP19" i="4684"/>
  <c r="AO19" i="4684"/>
  <c r="AN19" i="4684"/>
  <c r="AM19" i="4684"/>
  <c r="AI19" i="4684"/>
  <c r="AH19" i="4684"/>
  <c r="AG19" i="4684"/>
  <c r="AF19" i="4684"/>
  <c r="AB19" i="4684"/>
  <c r="AA19" i="4684"/>
  <c r="Z19" i="4684"/>
  <c r="Y19" i="4684"/>
  <c r="AP18" i="4684"/>
  <c r="AO18" i="4684"/>
  <c r="AN18" i="4684"/>
  <c r="AM18" i="4684"/>
  <c r="AI18" i="4684"/>
  <c r="AH18" i="4684"/>
  <c r="AG18" i="4684"/>
  <c r="AF18" i="4684"/>
  <c r="AB18" i="4684"/>
  <c r="AA18" i="4684"/>
  <c r="Z18" i="4684"/>
  <c r="Y18" i="4684"/>
  <c r="AP17" i="4684"/>
  <c r="AO17" i="4684"/>
  <c r="AN17" i="4684"/>
  <c r="AM17" i="4684"/>
  <c r="AI17" i="4684"/>
  <c r="AH17" i="4684"/>
  <c r="AG17" i="4684"/>
  <c r="AF17" i="4684"/>
  <c r="AB17" i="4684"/>
  <c r="AA17" i="4684"/>
  <c r="Z17" i="4684"/>
  <c r="Y17" i="4684"/>
  <c r="AP16" i="4684"/>
  <c r="AO16" i="4684"/>
  <c r="AN16" i="4684"/>
  <c r="AM16" i="4684"/>
  <c r="AI16" i="4684"/>
  <c r="AH16" i="4684"/>
  <c r="AG16" i="4684"/>
  <c r="AF16" i="4684"/>
  <c r="AB16" i="4684"/>
  <c r="AA16" i="4684"/>
  <c r="Z16" i="4684"/>
  <c r="Y16" i="4684"/>
  <c r="AP15" i="4684"/>
  <c r="AO15" i="4684"/>
  <c r="AN15" i="4684"/>
  <c r="AM15" i="4684"/>
  <c r="AI15" i="4684"/>
  <c r="AH15" i="4684"/>
  <c r="AG15" i="4684"/>
  <c r="AF15" i="4684"/>
  <c r="AB15" i="4684"/>
  <c r="AA15" i="4684"/>
  <c r="Z15" i="4684"/>
  <c r="Y15" i="4684"/>
  <c r="AP14" i="4684"/>
  <c r="AO14" i="4684"/>
  <c r="AN14" i="4684"/>
  <c r="AM14" i="4684"/>
  <c r="AI14" i="4684"/>
  <c r="AH14" i="4684"/>
  <c r="AG14" i="4684"/>
  <c r="AF14" i="4684"/>
  <c r="AB14" i="4684"/>
  <c r="AA14" i="4684"/>
  <c r="Z14" i="4684"/>
  <c r="Y14" i="4684"/>
  <c r="AP13" i="4684"/>
  <c r="AO13" i="4684"/>
  <c r="AN13" i="4684"/>
  <c r="AM13" i="4684"/>
  <c r="AI13" i="4684"/>
  <c r="AH13" i="4684"/>
  <c r="AG13" i="4684"/>
  <c r="AF13" i="4684"/>
  <c r="AB13" i="4684"/>
  <c r="AA13" i="4684"/>
  <c r="Z13" i="4684"/>
  <c r="Y13" i="4684"/>
  <c r="AI12" i="4684"/>
  <c r="AH12" i="4684"/>
  <c r="AG12" i="4684"/>
  <c r="AF12" i="4684"/>
  <c r="AI11" i="4684"/>
  <c r="AH11" i="4684"/>
  <c r="AG11" i="4684"/>
  <c r="AF11" i="4684"/>
  <c r="AI10" i="4684"/>
  <c r="AH10" i="4684"/>
  <c r="AG10" i="4684"/>
  <c r="AF10" i="4684"/>
  <c r="AP21" i="4678"/>
  <c r="AO21" i="4678"/>
  <c r="AN21" i="4678"/>
  <c r="AM21" i="4678"/>
  <c r="AP20" i="4678"/>
  <c r="AO20" i="4678"/>
  <c r="AN20" i="4678"/>
  <c r="AM20" i="4678"/>
  <c r="AP19" i="4678"/>
  <c r="AO19" i="4678"/>
  <c r="AN19" i="4678"/>
  <c r="AM19" i="4678"/>
  <c r="AP18" i="4678"/>
  <c r="AO18" i="4678"/>
  <c r="AN18" i="4678"/>
  <c r="AM18" i="4678"/>
  <c r="AP17" i="4678"/>
  <c r="AO17" i="4678"/>
  <c r="AN17" i="4678"/>
  <c r="AM17" i="4678"/>
  <c r="AP16" i="4678"/>
  <c r="AO16" i="4678"/>
  <c r="AN16" i="4678"/>
  <c r="AM16" i="4678"/>
  <c r="AP15" i="4678"/>
  <c r="AO15" i="4678"/>
  <c r="AN15" i="4678"/>
  <c r="AM15" i="4678"/>
  <c r="AP14" i="4678"/>
  <c r="AO14" i="4678"/>
  <c r="AN14" i="4678"/>
  <c r="AM14" i="4678"/>
  <c r="AP13" i="4678"/>
  <c r="AO13" i="4678"/>
  <c r="AN13" i="4678"/>
  <c r="AM13" i="4678"/>
  <c r="AI22" i="4678"/>
  <c r="AH22" i="4678"/>
  <c r="AG22" i="4678"/>
  <c r="AF22" i="4678"/>
  <c r="AI21" i="4678"/>
  <c r="AH21" i="4678"/>
  <c r="AG21" i="4678"/>
  <c r="AF21" i="4678"/>
  <c r="AI20" i="4678"/>
  <c r="AH20" i="4678"/>
  <c r="AG20" i="4678"/>
  <c r="AF20" i="4678"/>
  <c r="AI19" i="4678"/>
  <c r="AH19" i="4678"/>
  <c r="AG19" i="4678"/>
  <c r="AF19" i="4678"/>
  <c r="AI18" i="4678"/>
  <c r="AH18" i="4678"/>
  <c r="AG18" i="4678"/>
  <c r="AF18" i="4678"/>
  <c r="AI17" i="4678"/>
  <c r="AH17" i="4678"/>
  <c r="AG17" i="4678"/>
  <c r="AF17" i="4678"/>
  <c r="AI16" i="4678"/>
  <c r="AH16" i="4678"/>
  <c r="AG16" i="4678"/>
  <c r="AF16" i="4678"/>
  <c r="AI15" i="4678"/>
  <c r="AH15" i="4678"/>
  <c r="AG15" i="4678"/>
  <c r="AF15" i="4678"/>
  <c r="AI14" i="4678"/>
  <c r="AH14" i="4678"/>
  <c r="AG14" i="4678"/>
  <c r="AF14" i="4678"/>
  <c r="AI13" i="4678"/>
  <c r="AH13" i="4678"/>
  <c r="AG13" i="4678"/>
  <c r="AF13" i="4678"/>
  <c r="AI12" i="4678"/>
  <c r="AH12" i="4678"/>
  <c r="AG12" i="4678"/>
  <c r="AF12" i="4678"/>
  <c r="AI11" i="4678"/>
  <c r="AH11" i="4678"/>
  <c r="AG11" i="4678"/>
  <c r="AF11" i="4678"/>
  <c r="AI10" i="4678"/>
  <c r="AH10" i="4678"/>
  <c r="AG10" i="4678"/>
  <c r="AF10" i="4678"/>
  <c r="AB19" i="4678"/>
  <c r="AA19" i="4678"/>
  <c r="Z19" i="4678"/>
  <c r="Y19" i="4678"/>
  <c r="AB18" i="4678"/>
  <c r="AA18" i="4678"/>
  <c r="Z18" i="4678"/>
  <c r="Y18" i="4678"/>
  <c r="AB17" i="4678"/>
  <c r="AA17" i="4678"/>
  <c r="Z17" i="4678"/>
  <c r="Y17" i="4678"/>
  <c r="AB16" i="4678"/>
  <c r="AA16" i="4678"/>
  <c r="Z16" i="4678"/>
  <c r="Y16" i="4678"/>
  <c r="AB15" i="4678"/>
  <c r="AA15" i="4678"/>
  <c r="Z15" i="4678"/>
  <c r="Y15" i="4678"/>
  <c r="AB14" i="4678"/>
  <c r="AA14" i="4678"/>
  <c r="Z14" i="4678"/>
  <c r="Y14" i="4678"/>
  <c r="AB13" i="4678"/>
  <c r="AA13" i="4678"/>
  <c r="Z13" i="4678"/>
  <c r="Y13" i="4678"/>
  <c r="M14" i="4677" l="1"/>
  <c r="M15" i="4677"/>
  <c r="M16" i="4677"/>
  <c r="M17" i="4677"/>
  <c r="M18" i="4677"/>
  <c r="M19" i="4677"/>
  <c r="M20" i="4677"/>
  <c r="M21" i="4677"/>
  <c r="M22" i="4677"/>
  <c r="M18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M20" i="4678"/>
  <c r="Z13" i="4688" s="1"/>
  <c r="M21" i="4678"/>
  <c r="AA13" i="4688" s="1"/>
  <c r="M22" i="4678"/>
  <c r="AB13" i="4688" s="1"/>
  <c r="M17" i="4678"/>
  <c r="M16" i="4678"/>
  <c r="T21" i="4678"/>
  <c r="AO13" i="4688" s="1"/>
  <c r="T20" i="4678"/>
  <c r="AN13" i="4688" s="1"/>
  <c r="T19" i="4678"/>
  <c r="AM13" i="4688" s="1"/>
  <c r="T18" i="4678"/>
  <c r="T17" i="4678"/>
  <c r="T16" i="4678"/>
  <c r="T15" i="4678"/>
  <c r="T14" i="4678"/>
  <c r="T13" i="4678"/>
  <c r="T12" i="4678"/>
  <c r="T11" i="4678"/>
  <c r="T10" i="4678"/>
  <c r="M15" i="4678"/>
  <c r="M14" i="4678"/>
  <c r="M13" i="4678"/>
  <c r="M12" i="4678"/>
  <c r="M11" i="4678"/>
  <c r="M10" i="4678"/>
  <c r="F11" i="4678"/>
  <c r="F12" i="4678"/>
  <c r="F13" i="4678"/>
  <c r="F14" i="4678"/>
  <c r="F15" i="4678"/>
  <c r="F16" i="4678"/>
  <c r="F17" i="4678"/>
  <c r="I13" i="4688" s="1"/>
  <c r="F18" i="4678"/>
  <c r="J13" i="4688" s="1"/>
  <c r="F19" i="4678"/>
  <c r="K13" i="4688" s="1"/>
  <c r="F20" i="4678"/>
  <c r="F21" i="4678"/>
  <c r="F22" i="4678"/>
  <c r="O13" i="4688" s="1"/>
  <c r="F10" i="4678"/>
  <c r="M19" i="4684"/>
  <c r="M20" i="4684"/>
  <c r="Z18" i="4688" s="1"/>
  <c r="M21" i="4684"/>
  <c r="AA18" i="4688" s="1"/>
  <c r="M22" i="4684"/>
  <c r="AB18" i="4688" s="1"/>
  <c r="M18" i="4684"/>
  <c r="M17" i="4684"/>
  <c r="M16" i="4684"/>
  <c r="E4" i="4684"/>
  <c r="D5" i="4684"/>
  <c r="L5" i="4684"/>
  <c r="T21" i="4684"/>
  <c r="AO18" i="4688" s="1"/>
  <c r="T20" i="4684"/>
  <c r="AN18" i="4688" s="1"/>
  <c r="T19" i="4684"/>
  <c r="AM18" i="4688" s="1"/>
  <c r="T18" i="4684"/>
  <c r="T17" i="4684"/>
  <c r="T16" i="4684"/>
  <c r="T15" i="4684"/>
  <c r="T14" i="4684"/>
  <c r="T13" i="4684"/>
  <c r="T12" i="4684"/>
  <c r="T11" i="4684"/>
  <c r="T10" i="4684"/>
  <c r="M15" i="4684"/>
  <c r="M14" i="4684"/>
  <c r="M13" i="4684"/>
  <c r="M12" i="4684"/>
  <c r="M11" i="4684"/>
  <c r="M10" i="4684"/>
  <c r="F11" i="4684"/>
  <c r="F12" i="4684"/>
  <c r="F13" i="4684"/>
  <c r="F14" i="4684"/>
  <c r="F15" i="4684"/>
  <c r="F16" i="4684"/>
  <c r="F17" i="4684"/>
  <c r="I18" i="4688" s="1"/>
  <c r="F18" i="4684"/>
  <c r="J18" i="4688" s="1"/>
  <c r="F19" i="4684"/>
  <c r="K18" i="4688" s="1"/>
  <c r="F20" i="4684"/>
  <c r="F21" i="4684"/>
  <c r="F22" i="4684"/>
  <c r="O18" i="4688" s="1"/>
  <c r="F10" i="4684"/>
  <c r="M19" i="4686"/>
  <c r="M20" i="4686"/>
  <c r="Z23" i="4688" s="1"/>
  <c r="M21" i="4686"/>
  <c r="AA23" i="4688" s="1"/>
  <c r="M22" i="4686"/>
  <c r="AB23" i="4688" s="1"/>
  <c r="M18" i="4686"/>
  <c r="M17" i="4686"/>
  <c r="M16" i="4686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T16" i="4686"/>
  <c r="T15" i="4686"/>
  <c r="T14" i="4686"/>
  <c r="T13" i="4686"/>
  <c r="T12" i="4686"/>
  <c r="T11" i="4686"/>
  <c r="T10" i="4686"/>
  <c r="M15" i="4686"/>
  <c r="M14" i="4686"/>
  <c r="M13" i="4686"/>
  <c r="M12" i="4686"/>
  <c r="M11" i="4686"/>
  <c r="M10" i="4686"/>
  <c r="F11" i="4686"/>
  <c r="F12" i="4686"/>
  <c r="F13" i="4686"/>
  <c r="F14" i="4686"/>
  <c r="F15" i="4686"/>
  <c r="F16" i="4686"/>
  <c r="F17" i="4686"/>
  <c r="I23" i="4688" s="1"/>
  <c r="F18" i="4686"/>
  <c r="J23" i="4688" s="1"/>
  <c r="F19" i="4686"/>
  <c r="K23" i="4688" s="1"/>
  <c r="F20" i="4686"/>
  <c r="F21" i="4686"/>
  <c r="F22" i="4686"/>
  <c r="O23" i="4688" s="1"/>
  <c r="F10" i="4686"/>
  <c r="Y28" i="4688"/>
  <c r="Z28" i="4688"/>
  <c r="AA28" i="4688"/>
  <c r="AB28" i="4688"/>
  <c r="L5" i="4677"/>
  <c r="D5" i="4677"/>
  <c r="E4" i="4677"/>
  <c r="T21" i="4677"/>
  <c r="AO28" i="4688" s="1"/>
  <c r="T20" i="4677"/>
  <c r="AN28" i="4688" s="1"/>
  <c r="T19" i="4677"/>
  <c r="AM28" i="4688" s="1"/>
  <c r="T18" i="4677"/>
  <c r="T17" i="4677"/>
  <c r="T16" i="4677"/>
  <c r="T15" i="4677"/>
  <c r="T14" i="4677"/>
  <c r="T13" i="4677"/>
  <c r="T12" i="4677"/>
  <c r="T11" i="4677"/>
  <c r="T10" i="4677"/>
  <c r="M13" i="4677"/>
  <c r="M12" i="4677"/>
  <c r="M11" i="4677"/>
  <c r="M10" i="4677"/>
  <c r="F11" i="4677"/>
  <c r="F12" i="4677"/>
  <c r="F13" i="4677"/>
  <c r="F14" i="4677"/>
  <c r="F15" i="4677"/>
  <c r="F16" i="4677"/>
  <c r="F17" i="4677"/>
  <c r="I28" i="4688" s="1"/>
  <c r="F18" i="4677"/>
  <c r="J28" i="4688" s="1"/>
  <c r="F19" i="4677"/>
  <c r="K28" i="4688" s="1"/>
  <c r="F20" i="4677"/>
  <c r="F21" i="4677"/>
  <c r="F22" i="4677"/>
  <c r="O28" i="4688" s="1"/>
  <c r="F10" i="4677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0" i="4677" l="1"/>
  <c r="AK20" i="4677" s="1"/>
  <c r="N15" i="4677"/>
  <c r="AD15" i="4677" s="1"/>
  <c r="U19" i="4678"/>
  <c r="AK19" i="4678" s="1"/>
  <c r="AQ21" i="4678"/>
  <c r="AQ15" i="4678"/>
  <c r="AQ13" i="4678"/>
  <c r="AQ17" i="4678"/>
  <c r="AQ19" i="4678"/>
  <c r="AJ15" i="4678"/>
  <c r="AJ17" i="4678"/>
  <c r="AJ19" i="4678"/>
  <c r="M28" i="4688"/>
  <c r="AJ10" i="4677"/>
  <c r="H28" i="4688"/>
  <c r="AC19" i="4677"/>
  <c r="F28" i="4688"/>
  <c r="AC17" i="4677"/>
  <c r="D28" i="4688"/>
  <c r="AC15" i="4677"/>
  <c r="P28" i="4688"/>
  <c r="AJ12" i="4677"/>
  <c r="AJ13" i="4677"/>
  <c r="R28" i="4688"/>
  <c r="AJ15" i="4677"/>
  <c r="AD28" i="4688"/>
  <c r="AQ13" i="4677"/>
  <c r="AF28" i="4688"/>
  <c r="AQ15" i="4677"/>
  <c r="AH28" i="4688"/>
  <c r="AQ17" i="4677"/>
  <c r="AJ28" i="4688"/>
  <c r="AQ19" i="4677"/>
  <c r="AL28" i="4688"/>
  <c r="AQ21" i="4677"/>
  <c r="M23" i="4688"/>
  <c r="AJ10" i="4686"/>
  <c r="H23" i="4688"/>
  <c r="K24" i="4688" s="1"/>
  <c r="BA20" i="4688" s="1"/>
  <c r="AC19" i="4686"/>
  <c r="F23" i="4688"/>
  <c r="AC17" i="4686"/>
  <c r="D23" i="4688"/>
  <c r="AC15" i="4686"/>
  <c r="P23" i="4688"/>
  <c r="AJ13" i="4686"/>
  <c r="AJ12" i="4686"/>
  <c r="R23" i="4688"/>
  <c r="AJ15" i="4686"/>
  <c r="T23" i="4688"/>
  <c r="AJ17" i="4686"/>
  <c r="AD23" i="4688"/>
  <c r="AQ13" i="4686"/>
  <c r="AF23" i="4688"/>
  <c r="AQ15" i="4686"/>
  <c r="AH23" i="4688"/>
  <c r="AQ17" i="4686"/>
  <c r="AJ23" i="4688"/>
  <c r="AQ19" i="4686"/>
  <c r="AL23" i="4688"/>
  <c r="AO24" i="4688" s="1"/>
  <c r="CC20" i="4688" s="1"/>
  <c r="AQ21" i="4686"/>
  <c r="W23" i="4688"/>
  <c r="AJ20" i="4686"/>
  <c r="B18" i="4688"/>
  <c r="AC13" i="4684"/>
  <c r="N18" i="4688"/>
  <c r="AJ11" i="4684"/>
  <c r="G18" i="4688"/>
  <c r="AC18" i="4684"/>
  <c r="E18" i="4688"/>
  <c r="AC16" i="4684"/>
  <c r="C18" i="4688"/>
  <c r="AC14" i="4684"/>
  <c r="Q18" i="4688"/>
  <c r="AJ14" i="4684"/>
  <c r="S18" i="4688"/>
  <c r="AJ16" i="4684"/>
  <c r="U18" i="4688"/>
  <c r="AJ18" i="4684"/>
  <c r="AE18" i="4688"/>
  <c r="AQ14" i="4684"/>
  <c r="AG18" i="4688"/>
  <c r="AQ16" i="4684"/>
  <c r="AI18" i="4688"/>
  <c r="AQ18" i="4684"/>
  <c r="AK18" i="4688"/>
  <c r="AQ20" i="4684"/>
  <c r="V18" i="4688"/>
  <c r="AJ19" i="4684"/>
  <c r="X18" i="4688"/>
  <c r="AJ21" i="4684"/>
  <c r="Y18" i="4688"/>
  <c r="AB19" i="4688" s="1"/>
  <c r="BQ18" i="4688" s="1"/>
  <c r="AJ22" i="4684"/>
  <c r="AJ10" i="4678"/>
  <c r="AC19" i="4678"/>
  <c r="AC17" i="4678"/>
  <c r="AC15" i="4678"/>
  <c r="AJ12" i="4678"/>
  <c r="AJ13" i="4678"/>
  <c r="AJ21" i="4678"/>
  <c r="AJ22" i="4677"/>
  <c r="W28" i="4688"/>
  <c r="AJ20" i="4677"/>
  <c r="U28" i="4688"/>
  <c r="AJ18" i="4677"/>
  <c r="B28" i="4688"/>
  <c r="AC13" i="4677"/>
  <c r="N28" i="4688"/>
  <c r="AJ11" i="4677"/>
  <c r="G28" i="4688"/>
  <c r="AC18" i="4677"/>
  <c r="E28" i="4688"/>
  <c r="AC16" i="4677"/>
  <c r="C28" i="4688"/>
  <c r="F29" i="4688" s="1"/>
  <c r="AV19" i="4688" s="1"/>
  <c r="AC14" i="4677"/>
  <c r="Q28" i="4688"/>
  <c r="Q29" i="4688" s="1"/>
  <c r="BF19" i="4688" s="1"/>
  <c r="AJ14" i="4677"/>
  <c r="S28" i="4688"/>
  <c r="AJ16" i="4677"/>
  <c r="AE28" i="4688"/>
  <c r="AQ14" i="4677"/>
  <c r="AG28" i="4688"/>
  <c r="AQ16" i="4677"/>
  <c r="AI28" i="4688"/>
  <c r="AQ18" i="4677"/>
  <c r="AK28" i="4688"/>
  <c r="AQ20" i="4677"/>
  <c r="B23" i="4688"/>
  <c r="AC13" i="4686"/>
  <c r="N23" i="4688"/>
  <c r="AJ11" i="4686"/>
  <c r="G23" i="4688"/>
  <c r="AC18" i="4686"/>
  <c r="E23" i="4688"/>
  <c r="AC16" i="4686"/>
  <c r="C23" i="4688"/>
  <c r="AC14" i="4686"/>
  <c r="Q23" i="4688"/>
  <c r="AJ14" i="4686"/>
  <c r="S23" i="4688"/>
  <c r="AJ16" i="4686"/>
  <c r="U23" i="4688"/>
  <c r="AJ18" i="4686"/>
  <c r="AE23" i="4688"/>
  <c r="AQ14" i="4686"/>
  <c r="AG23" i="4688"/>
  <c r="AG24" i="4688" s="1"/>
  <c r="AQ16" i="4686"/>
  <c r="AI23" i="4688"/>
  <c r="AQ18" i="4686"/>
  <c r="AK23" i="4688"/>
  <c r="AQ20" i="4686"/>
  <c r="V23" i="4688"/>
  <c r="V24" i="4688" s="1"/>
  <c r="BK20" i="4688" s="1"/>
  <c r="AJ19" i="4686"/>
  <c r="X23" i="4688"/>
  <c r="AJ21" i="4686"/>
  <c r="Y23" i="4688"/>
  <c r="AA24" i="4688" s="1"/>
  <c r="BP20" i="4688" s="1"/>
  <c r="AJ22" i="4686"/>
  <c r="M18" i="4688"/>
  <c r="AJ10" i="4684"/>
  <c r="H18" i="4688"/>
  <c r="K19" i="4688" s="1"/>
  <c r="BA18" i="4688" s="1"/>
  <c r="AC19" i="4684"/>
  <c r="F18" i="4688"/>
  <c r="AC17" i="4684"/>
  <c r="D18" i="4688"/>
  <c r="G19" i="4688" s="1"/>
  <c r="AW18" i="4688" s="1"/>
  <c r="AC15" i="4684"/>
  <c r="P18" i="4688"/>
  <c r="AJ12" i="4684"/>
  <c r="AJ13" i="4684"/>
  <c r="R18" i="4688"/>
  <c r="AJ15" i="4684"/>
  <c r="T18" i="4688"/>
  <c r="AJ17" i="4684"/>
  <c r="AD18" i="4688"/>
  <c r="AQ13" i="4684"/>
  <c r="AF18" i="4688"/>
  <c r="AQ15" i="4684"/>
  <c r="AH18" i="4688"/>
  <c r="AQ17" i="4684"/>
  <c r="AJ18" i="4688"/>
  <c r="AQ19" i="4684"/>
  <c r="AL18" i="4688"/>
  <c r="AO19" i="4688" s="1"/>
  <c r="CC18" i="4688" s="1"/>
  <c r="AQ21" i="4684"/>
  <c r="W18" i="4688"/>
  <c r="AJ20" i="4684"/>
  <c r="AC13" i="4678"/>
  <c r="AJ11" i="4678"/>
  <c r="AC18" i="4678"/>
  <c r="AC16" i="4678"/>
  <c r="AC14" i="4678"/>
  <c r="AJ14" i="4678"/>
  <c r="AJ16" i="4678"/>
  <c r="AJ18" i="4678"/>
  <c r="AQ14" i="4678"/>
  <c r="AQ16" i="4678"/>
  <c r="AQ18" i="4678"/>
  <c r="AQ20" i="4678"/>
  <c r="AJ20" i="4678"/>
  <c r="AJ22" i="4678"/>
  <c r="X28" i="4688"/>
  <c r="AA29" i="4688" s="1"/>
  <c r="BP19" i="4688" s="1"/>
  <c r="AJ21" i="4677"/>
  <c r="V28" i="4688"/>
  <c r="AJ19" i="4677"/>
  <c r="T28" i="4688"/>
  <c r="AJ17" i="4677"/>
  <c r="B13" i="4688"/>
  <c r="G13" i="4688"/>
  <c r="G33" i="4688" s="1"/>
  <c r="E13" i="4688"/>
  <c r="C13" i="4688"/>
  <c r="C33" i="4688" s="1"/>
  <c r="S13" i="4688"/>
  <c r="U13" i="4688"/>
  <c r="U33" i="4688" s="1"/>
  <c r="AE13" i="4688"/>
  <c r="AG13" i="4688"/>
  <c r="AG33" i="4688" s="1"/>
  <c r="AI13" i="4688"/>
  <c r="AK13" i="4688"/>
  <c r="W13" i="4688"/>
  <c r="Y13" i="4688"/>
  <c r="AB14" i="4688" s="1"/>
  <c r="BQ12" i="4688" s="1"/>
  <c r="M13" i="4688"/>
  <c r="H13" i="4688"/>
  <c r="K14" i="4688" s="1"/>
  <c r="BA12" i="4688" s="1"/>
  <c r="F13" i="4688"/>
  <c r="D13" i="4688"/>
  <c r="P13" i="4688"/>
  <c r="R13" i="4688"/>
  <c r="T13" i="4688"/>
  <c r="AD13" i="4688"/>
  <c r="AF13" i="4688"/>
  <c r="AH13" i="4688"/>
  <c r="AJ13" i="4688"/>
  <c r="AL13" i="4688"/>
  <c r="AO14" i="4688" s="1"/>
  <c r="CC12" i="4688" s="1"/>
  <c r="V13" i="4688"/>
  <c r="X13" i="4688"/>
  <c r="AA14" i="4688" s="1"/>
  <c r="BP12" i="4688" s="1"/>
  <c r="N13" i="4688"/>
  <c r="N11" i="4678"/>
  <c r="AD11" i="4678" s="1"/>
  <c r="Q13" i="4688"/>
  <c r="N14" i="4678"/>
  <c r="AD14" i="4678" s="1"/>
  <c r="J33" i="4689"/>
  <c r="U37" i="4695" s="1"/>
  <c r="J24" i="4689"/>
  <c r="U36" i="4695" s="1"/>
  <c r="J28" i="4689"/>
  <c r="J26" i="4689"/>
  <c r="AK20" i="4688" s="1"/>
  <c r="J40" i="4689"/>
  <c r="J31" i="4689"/>
  <c r="V37" i="4695" s="1"/>
  <c r="J20" i="4689"/>
  <c r="G20" i="4688" s="1"/>
  <c r="J10" i="4689"/>
  <c r="J43" i="4689"/>
  <c r="J37" i="4689"/>
  <c r="V20" i="4695" s="1"/>
  <c r="J34" i="4689"/>
  <c r="J36" i="4689"/>
  <c r="J32" i="4689"/>
  <c r="U25" i="4688" s="1"/>
  <c r="J30" i="4689"/>
  <c r="J25" i="4689"/>
  <c r="J23" i="4689"/>
  <c r="U20" i="4688" s="1"/>
  <c r="J22" i="4689"/>
  <c r="J16" i="4689"/>
  <c r="J14" i="4689"/>
  <c r="U15" i="4688" s="1"/>
  <c r="J13" i="4689"/>
  <c r="T17" i="4681"/>
  <c r="J44" i="4689"/>
  <c r="J45" i="4689"/>
  <c r="U57" i="4695" s="1"/>
  <c r="J41" i="4689"/>
  <c r="J42" i="4689"/>
  <c r="U38" i="4695" s="1"/>
  <c r="J38" i="4689"/>
  <c r="J39" i="4689"/>
  <c r="U20" i="4695" s="1"/>
  <c r="J35" i="4689"/>
  <c r="Z25" i="4688"/>
  <c r="J29" i="4689"/>
  <c r="J27" i="4689"/>
  <c r="U55" i="4695" s="1"/>
  <c r="J19" i="4689"/>
  <c r="V18" i="4695" s="1"/>
  <c r="J21" i="4689"/>
  <c r="U18" i="4695" s="1"/>
  <c r="J18" i="4689"/>
  <c r="U54" i="4695" s="1"/>
  <c r="J17" i="4689"/>
  <c r="J15" i="4689"/>
  <c r="U35" i="4695" s="1"/>
  <c r="J12" i="4689"/>
  <c r="U17" i="4695" s="1"/>
  <c r="J11" i="4689"/>
  <c r="AB29" i="4688"/>
  <c r="BQ19" i="4688" s="1"/>
  <c r="AN33" i="4688"/>
  <c r="AO33" i="4688"/>
  <c r="Z33" i="4688"/>
  <c r="M11" i="4681"/>
  <c r="AB33" i="4688"/>
  <c r="K33" i="4688"/>
  <c r="I33" i="4688"/>
  <c r="AM33" i="4688"/>
  <c r="AA33" i="4688"/>
  <c r="O33" i="4688"/>
  <c r="J33" i="4688"/>
  <c r="U21" i="4677"/>
  <c r="AK21" i="4677" s="1"/>
  <c r="U19" i="4677"/>
  <c r="AK19" i="4677" s="1"/>
  <c r="U17" i="4677"/>
  <c r="AK17" i="4677" s="1"/>
  <c r="U18" i="4677"/>
  <c r="AK18" i="4677" s="1"/>
  <c r="U15" i="4677"/>
  <c r="AK15" i="4677" s="1"/>
  <c r="U16" i="4677"/>
  <c r="AK16" i="4677" s="1"/>
  <c r="U13" i="4677"/>
  <c r="AK13" i="4677" s="1"/>
  <c r="U14" i="4677"/>
  <c r="AK14" i="4677" s="1"/>
  <c r="N21" i="4677"/>
  <c r="AD21" i="4677" s="1"/>
  <c r="N18" i="4677"/>
  <c r="AD18" i="4677" s="1"/>
  <c r="N19" i="4677"/>
  <c r="AD19" i="4677" s="1"/>
  <c r="N16" i="4677"/>
  <c r="AD16" i="4677" s="1"/>
  <c r="N14" i="4677"/>
  <c r="AD14" i="4677" s="1"/>
  <c r="N12" i="4677"/>
  <c r="AD12" i="4677" s="1"/>
  <c r="N10" i="4677"/>
  <c r="AD10" i="4677" s="1"/>
  <c r="G19" i="4677"/>
  <c r="W19" i="4677" s="1"/>
  <c r="G17" i="4677"/>
  <c r="W17" i="4677" s="1"/>
  <c r="G15" i="4677"/>
  <c r="W15" i="4677" s="1"/>
  <c r="G13" i="4677"/>
  <c r="W13" i="4677" s="1"/>
  <c r="T21" i="4681"/>
  <c r="T19" i="4681"/>
  <c r="U20" i="4686"/>
  <c r="AK20" i="4686" s="1"/>
  <c r="U21" i="4686"/>
  <c r="AK21" i="4686" s="1"/>
  <c r="U18" i="4686"/>
  <c r="AK18" i="4686" s="1"/>
  <c r="U19" i="4686"/>
  <c r="AK19" i="4686" s="1"/>
  <c r="U16" i="4686"/>
  <c r="AK16" i="4686" s="1"/>
  <c r="U17" i="4686"/>
  <c r="AK17" i="4686" s="1"/>
  <c r="T13" i="4681"/>
  <c r="U14" i="4686"/>
  <c r="AK14" i="4686" s="1"/>
  <c r="U15" i="4686"/>
  <c r="AK15" i="4686" s="1"/>
  <c r="U13" i="4686"/>
  <c r="AK13" i="4686" s="1"/>
  <c r="N21" i="4686"/>
  <c r="AD21" i="4686" s="1"/>
  <c r="N20" i="4686"/>
  <c r="AD20" i="4686" s="1"/>
  <c r="N17" i="4686"/>
  <c r="AD17" i="4686" s="1"/>
  <c r="N19" i="4686"/>
  <c r="AD19" i="4686" s="1"/>
  <c r="N15" i="4686"/>
  <c r="AD15" i="4686" s="1"/>
  <c r="N13" i="4686"/>
  <c r="AD13" i="4686" s="1"/>
  <c r="N11" i="4686"/>
  <c r="AD11" i="4686" s="1"/>
  <c r="G18" i="4686"/>
  <c r="W18" i="4686" s="1"/>
  <c r="G16" i="4686"/>
  <c r="W16" i="4686" s="1"/>
  <c r="G13" i="4686"/>
  <c r="W13" i="4686" s="1"/>
  <c r="G14" i="4686"/>
  <c r="W14" i="4686" s="1"/>
  <c r="U21" i="4684"/>
  <c r="AK21" i="4684" s="1"/>
  <c r="U19" i="4684"/>
  <c r="AK19" i="4684" s="1"/>
  <c r="U17" i="4684"/>
  <c r="AK17" i="4684" s="1"/>
  <c r="T15" i="4681"/>
  <c r="U18" i="4684"/>
  <c r="AK18" i="4684" s="1"/>
  <c r="U15" i="4684"/>
  <c r="AK15" i="4684" s="1"/>
  <c r="U16" i="4684"/>
  <c r="AK16" i="4684" s="1"/>
  <c r="U13" i="4684"/>
  <c r="AK13" i="4684" s="1"/>
  <c r="T11" i="4681"/>
  <c r="U14" i="4684"/>
  <c r="AK14" i="4684" s="1"/>
  <c r="N21" i="4684"/>
  <c r="AD21" i="4684" s="1"/>
  <c r="N20" i="4684"/>
  <c r="AD20" i="4684" s="1"/>
  <c r="N18" i="4684"/>
  <c r="AD18" i="4684" s="1"/>
  <c r="N19" i="4684"/>
  <c r="AD19" i="4684" s="1"/>
  <c r="N17" i="4684"/>
  <c r="AD17" i="4684" s="1"/>
  <c r="N16" i="4684"/>
  <c r="AD16" i="4684" s="1"/>
  <c r="N15" i="4684"/>
  <c r="AD15" i="4684" s="1"/>
  <c r="N14" i="4684"/>
  <c r="AD14" i="4684" s="1"/>
  <c r="N13" i="4684"/>
  <c r="AD13" i="4684" s="1"/>
  <c r="N10" i="4684"/>
  <c r="AD10" i="4684" s="1"/>
  <c r="N11" i="4684"/>
  <c r="AD11" i="4684" s="1"/>
  <c r="G19" i="4684"/>
  <c r="W19" i="4684" s="1"/>
  <c r="G17" i="4684"/>
  <c r="W17" i="4684" s="1"/>
  <c r="F15" i="4681"/>
  <c r="G15" i="4684"/>
  <c r="W15" i="4684" s="1"/>
  <c r="F13" i="4681"/>
  <c r="G13" i="4684"/>
  <c r="W13" i="4684" s="1"/>
  <c r="F11" i="4681"/>
  <c r="U20" i="4678"/>
  <c r="AK20" i="4678" s="1"/>
  <c r="U21" i="4678"/>
  <c r="AK21" i="4678" s="1"/>
  <c r="U18" i="4678"/>
  <c r="AK18" i="4678" s="1"/>
  <c r="U16" i="4678"/>
  <c r="AK16" i="4678" s="1"/>
  <c r="U17" i="4678"/>
  <c r="AK17" i="4678" s="1"/>
  <c r="U14" i="4678"/>
  <c r="AK14" i="4678" s="1"/>
  <c r="U15" i="4678"/>
  <c r="AK15" i="4678" s="1"/>
  <c r="T10" i="4681"/>
  <c r="U13" i="4678"/>
  <c r="AK13" i="4678" s="1"/>
  <c r="N21" i="4678"/>
  <c r="AD21" i="4678" s="1"/>
  <c r="M19" i="4681"/>
  <c r="N20" i="4678"/>
  <c r="AD20" i="4678" s="1"/>
  <c r="N19" i="4678"/>
  <c r="AD19" i="4678" s="1"/>
  <c r="N18" i="4678"/>
  <c r="AD18" i="4678" s="1"/>
  <c r="N17" i="4678"/>
  <c r="AD17" i="4678" s="1"/>
  <c r="M15" i="4681"/>
  <c r="N16" i="4678"/>
  <c r="AD16" i="4678" s="1"/>
  <c r="N15" i="4678"/>
  <c r="AD15" i="4678" s="1"/>
  <c r="N13" i="4678"/>
  <c r="AD13" i="4678" s="1"/>
  <c r="F21" i="4681"/>
  <c r="N10" i="4678"/>
  <c r="AD10" i="4678" s="1"/>
  <c r="F19" i="4681"/>
  <c r="F17" i="4681"/>
  <c r="G18" i="4678"/>
  <c r="W18" i="4678" s="1"/>
  <c r="G16" i="4678"/>
  <c r="W16" i="4678" s="1"/>
  <c r="G13" i="4678"/>
  <c r="W13" i="4678" s="1"/>
  <c r="G14" i="4678"/>
  <c r="W14" i="4678" s="1"/>
  <c r="F10" i="4681"/>
  <c r="M10" i="4681"/>
  <c r="M13" i="4681"/>
  <c r="N11" i="4677"/>
  <c r="AD11" i="4677" s="1"/>
  <c r="N13" i="4677"/>
  <c r="AD13" i="4677" s="1"/>
  <c r="N17" i="4677"/>
  <c r="AD17" i="4677" s="1"/>
  <c r="N20" i="4677"/>
  <c r="AD20" i="4677" s="1"/>
  <c r="N22" i="4677"/>
  <c r="AD22" i="4677" s="1"/>
  <c r="G18" i="4677"/>
  <c r="W18" i="4677" s="1"/>
  <c r="G16" i="4677"/>
  <c r="W16" i="4677" s="1"/>
  <c r="G14" i="4677"/>
  <c r="W14" i="4677" s="1"/>
  <c r="N22" i="4686"/>
  <c r="AD22" i="4686" s="1"/>
  <c r="N10" i="4686"/>
  <c r="AD10" i="4686" s="1"/>
  <c r="N16" i="4686"/>
  <c r="AD16" i="4686" s="1"/>
  <c r="N18" i="4686"/>
  <c r="AD18" i="4686" s="1"/>
  <c r="G19" i="4686"/>
  <c r="W19" i="4686" s="1"/>
  <c r="G17" i="4686"/>
  <c r="W17" i="4686" s="1"/>
  <c r="G15" i="4686"/>
  <c r="W15" i="4686" s="1"/>
  <c r="N12" i="4686"/>
  <c r="AD12" i="4686" s="1"/>
  <c r="U20" i="4684"/>
  <c r="AK20" i="4684" s="1"/>
  <c r="N22" i="4684"/>
  <c r="AD22" i="4684" s="1"/>
  <c r="N12" i="4684"/>
  <c r="AD12" i="4684" s="1"/>
  <c r="G18" i="4684"/>
  <c r="W18" i="4684" s="1"/>
  <c r="G16" i="4684"/>
  <c r="W16" i="4684" s="1"/>
  <c r="G14" i="4684"/>
  <c r="W14" i="4684" s="1"/>
  <c r="M21" i="4681"/>
  <c r="N22" i="4678"/>
  <c r="AD22" i="4678" s="1"/>
  <c r="G19" i="4678"/>
  <c r="W19" i="4678" s="1"/>
  <c r="G17" i="4678"/>
  <c r="W17" i="4678" s="1"/>
  <c r="G15" i="4678"/>
  <c r="W15" i="4678" s="1"/>
  <c r="N12" i="4678"/>
  <c r="AD12" i="4678" s="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D14" i="4686" s="1"/>
  <c r="W29" i="4688" l="1"/>
  <c r="BL19" i="4688" s="1"/>
  <c r="Q24" i="4688"/>
  <c r="BF20" i="4688" s="1"/>
  <c r="AG19" i="4688"/>
  <c r="Y33" i="4688"/>
  <c r="AB34" i="4688" s="1"/>
  <c r="BQ22" i="4688" s="1"/>
  <c r="AN14" i="4688"/>
  <c r="CB12" i="4688" s="1"/>
  <c r="Z20" i="4688"/>
  <c r="E29" i="4688"/>
  <c r="R19" i="4688"/>
  <c r="BG18" i="4688" s="1"/>
  <c r="AM14" i="4688"/>
  <c r="CA12" i="4688" s="1"/>
  <c r="AJ14" i="4688"/>
  <c r="BX12" i="4688" s="1"/>
  <c r="P25" i="4688"/>
  <c r="AG29" i="4688"/>
  <c r="AN29" i="4688"/>
  <c r="CB19" i="4688" s="1"/>
  <c r="AK29" i="4688"/>
  <c r="BY19" i="4688" s="1"/>
  <c r="AL29" i="4688"/>
  <c r="BZ19" i="4688" s="1"/>
  <c r="AJ29" i="4688"/>
  <c r="BX19" i="4688" s="1"/>
  <c r="AI29" i="4688"/>
  <c r="BW19" i="4688" s="1"/>
  <c r="AH29" i="4688"/>
  <c r="BV19" i="4688" s="1"/>
  <c r="V29" i="4688"/>
  <c r="BK19" i="4688" s="1"/>
  <c r="Y29" i="4688"/>
  <c r="BN19" i="4688" s="1"/>
  <c r="Z29" i="4688"/>
  <c r="BO19" i="4688" s="1"/>
  <c r="X29" i="4688"/>
  <c r="BM19" i="4688" s="1"/>
  <c r="T29" i="4688"/>
  <c r="BI19" i="4688" s="1"/>
  <c r="R29" i="4688"/>
  <c r="BG19" i="4688" s="1"/>
  <c r="R33" i="4688"/>
  <c r="S29" i="4688"/>
  <c r="BH19" i="4688" s="1"/>
  <c r="I29" i="4688"/>
  <c r="AY19" i="4688" s="1"/>
  <c r="H29" i="4688"/>
  <c r="AX19" i="4688" s="1"/>
  <c r="J29" i="4688"/>
  <c r="AZ19" i="4688" s="1"/>
  <c r="G29" i="4688"/>
  <c r="AW19" i="4688" s="1"/>
  <c r="K29" i="4688"/>
  <c r="BA19" i="4688" s="1"/>
  <c r="P29" i="4688"/>
  <c r="AF33" i="4688"/>
  <c r="AI24" i="4688"/>
  <c r="BW20" i="4688" s="1"/>
  <c r="AN24" i="4688"/>
  <c r="CB20" i="4688" s="1"/>
  <c r="AH24" i="4688"/>
  <c r="BV20" i="4688" s="1"/>
  <c r="AL24" i="4688"/>
  <c r="BZ20" i="4688" s="1"/>
  <c r="AL33" i="4688"/>
  <c r="AM24" i="4688"/>
  <c r="CA20" i="4688" s="1"/>
  <c r="AK24" i="4688"/>
  <c r="BY20" i="4688" s="1"/>
  <c r="AJ24" i="4688"/>
  <c r="BX20" i="4688" s="1"/>
  <c r="Z24" i="4688"/>
  <c r="BO20" i="4688" s="1"/>
  <c r="X24" i="4688"/>
  <c r="BM20" i="4688" s="1"/>
  <c r="S24" i="4688"/>
  <c r="BH20" i="4688" s="1"/>
  <c r="U24" i="4688"/>
  <c r="BJ20" i="4688" s="1"/>
  <c r="X33" i="4688"/>
  <c r="AA34" i="4688" s="1"/>
  <c r="BP22" i="4688" s="1"/>
  <c r="AB24" i="4688"/>
  <c r="BQ20" i="4688" s="1"/>
  <c r="Y24" i="4688"/>
  <c r="BN20" i="4688" s="1"/>
  <c r="W24" i="4688"/>
  <c r="BL20" i="4688" s="1"/>
  <c r="W33" i="4688"/>
  <c r="T24" i="4688"/>
  <c r="BI20" i="4688" s="1"/>
  <c r="R24" i="4688"/>
  <c r="BG20" i="4688" s="1"/>
  <c r="P24" i="4688"/>
  <c r="BE20" i="4688" s="1"/>
  <c r="H24" i="4688"/>
  <c r="AX20" i="4688" s="1"/>
  <c r="I24" i="4688"/>
  <c r="AY20" i="4688" s="1"/>
  <c r="F24" i="4688"/>
  <c r="AV20" i="4688" s="1"/>
  <c r="G24" i="4688"/>
  <c r="AW20" i="4688" s="1"/>
  <c r="D33" i="4688"/>
  <c r="E24" i="4688"/>
  <c r="AU20" i="4688" s="1"/>
  <c r="AJ19" i="4688"/>
  <c r="BX18" i="4688" s="1"/>
  <c r="AK19" i="4688"/>
  <c r="BY18" i="4688" s="1"/>
  <c r="AN19" i="4688"/>
  <c r="CB18" i="4688" s="1"/>
  <c r="AK33" i="4688"/>
  <c r="AI19" i="4688"/>
  <c r="BW18" i="4688" s="1"/>
  <c r="AI33" i="4688"/>
  <c r="AM19" i="4688"/>
  <c r="CA18" i="4688" s="1"/>
  <c r="AL19" i="4688"/>
  <c r="BZ18" i="4688" s="1"/>
  <c r="AH19" i="4688"/>
  <c r="BV18" i="4688" s="1"/>
  <c r="AE33" i="4688"/>
  <c r="W19" i="4688"/>
  <c r="BL18" i="4688" s="1"/>
  <c r="V19" i="4688"/>
  <c r="BK18" i="4688" s="1"/>
  <c r="AA19" i="4688"/>
  <c r="BP18" i="4688" s="1"/>
  <c r="Z19" i="4688"/>
  <c r="BO18" i="4688" s="1"/>
  <c r="Y19" i="4688"/>
  <c r="BN18" i="4688" s="1"/>
  <c r="X19" i="4688"/>
  <c r="BM18" i="4688" s="1"/>
  <c r="U19" i="4688"/>
  <c r="BJ18" i="4688" s="1"/>
  <c r="T19" i="4688"/>
  <c r="BI18" i="4688" s="1"/>
  <c r="S19" i="4688"/>
  <c r="BH18" i="4688" s="1"/>
  <c r="J19" i="4688"/>
  <c r="AZ18" i="4688" s="1"/>
  <c r="F19" i="4688"/>
  <c r="AV18" i="4688" s="1"/>
  <c r="I19" i="4688"/>
  <c r="AY18" i="4688" s="1"/>
  <c r="P19" i="4688"/>
  <c r="N33" i="4688"/>
  <c r="H19" i="4688"/>
  <c r="AX18" i="4688" s="1"/>
  <c r="E19" i="4688"/>
  <c r="AU18" i="4688" s="1"/>
  <c r="AL14" i="4688"/>
  <c r="BZ12" i="4688" s="1"/>
  <c r="AK14" i="4688"/>
  <c r="BY12" i="4688" s="1"/>
  <c r="AH33" i="4688"/>
  <c r="AI14" i="4688"/>
  <c r="BW12" i="4688" s="1"/>
  <c r="AD33" i="4688"/>
  <c r="AG14" i="4688"/>
  <c r="AH14" i="4688"/>
  <c r="BV12" i="4688" s="1"/>
  <c r="AJ33" i="4688"/>
  <c r="R14" i="4688"/>
  <c r="BG12" i="4688" s="1"/>
  <c r="Q14" i="4688"/>
  <c r="BF12" i="4688" s="1"/>
  <c r="Z14" i="4688"/>
  <c r="BO12" i="4688" s="1"/>
  <c r="Y14" i="4688"/>
  <c r="BN12" i="4688" s="1"/>
  <c r="X14" i="4688"/>
  <c r="BM12" i="4688" s="1"/>
  <c r="V14" i="4688"/>
  <c r="BK12" i="4688" s="1"/>
  <c r="T14" i="4688"/>
  <c r="BI12" i="4688" s="1"/>
  <c r="U14" i="4688"/>
  <c r="BJ12" i="4688" s="1"/>
  <c r="W14" i="4688"/>
  <c r="BL12" i="4688" s="1"/>
  <c r="V33" i="4688"/>
  <c r="G14" i="4688"/>
  <c r="AW12" i="4688" s="1"/>
  <c r="M33" i="4688"/>
  <c r="P14" i="4688"/>
  <c r="BE12" i="4688" s="1"/>
  <c r="E14" i="4688"/>
  <c r="AU12" i="4688" s="1"/>
  <c r="H14" i="4688"/>
  <c r="AX12" i="4688" s="1"/>
  <c r="J14" i="4688"/>
  <c r="AZ12" i="4688" s="1"/>
  <c r="F33" i="4688"/>
  <c r="B33" i="4688"/>
  <c r="AM29" i="4688"/>
  <c r="CA19" i="4688" s="1"/>
  <c r="AO29" i="4688"/>
  <c r="CC19" i="4688" s="1"/>
  <c r="T33" i="4688"/>
  <c r="U29" i="4688"/>
  <c r="BJ19" i="4688" s="1"/>
  <c r="J24" i="4688"/>
  <c r="AZ20" i="4688" s="1"/>
  <c r="Q19" i="4688"/>
  <c r="BF18" i="4688" s="1"/>
  <c r="Q33" i="4688"/>
  <c r="P33" i="4688"/>
  <c r="E33" i="4688"/>
  <c r="F34" i="4688" s="1"/>
  <c r="AV22" i="4688" s="1"/>
  <c r="H33" i="4688"/>
  <c r="S14" i="4688"/>
  <c r="BH12" i="4688" s="1"/>
  <c r="S33" i="4688"/>
  <c r="I14" i="4688"/>
  <c r="AY12" i="4688" s="1"/>
  <c r="F14" i="4688"/>
  <c r="AV12" i="4688" s="1"/>
  <c r="P20" i="4688"/>
  <c r="V36" i="4695"/>
  <c r="AF20" i="4688"/>
  <c r="V55" i="4695"/>
  <c r="AF25" i="4688"/>
  <c r="V56" i="4695"/>
  <c r="AF30" i="4688"/>
  <c r="V57" i="4695"/>
  <c r="P30" i="4688"/>
  <c r="V38" i="4695"/>
  <c r="D25" i="4688"/>
  <c r="V19" i="4695"/>
  <c r="P15" i="4688"/>
  <c r="V35" i="4695"/>
  <c r="AF15" i="4688"/>
  <c r="V54" i="4695"/>
  <c r="J25" i="4688"/>
  <c r="U19" i="4695"/>
  <c r="AO25" i="4688"/>
  <c r="U56" i="4695"/>
  <c r="D30" i="4688"/>
  <c r="D15" i="4688"/>
  <c r="V17" i="4695"/>
  <c r="BU12" i="4688"/>
  <c r="BE19" i="4688"/>
  <c r="AU19" i="4688"/>
  <c r="BU19" i="4688"/>
  <c r="BU20" i="4688"/>
  <c r="BE18" i="4688"/>
  <c r="BU18" i="4688"/>
  <c r="U23" i="4684"/>
  <c r="U23" i="4678"/>
  <c r="AO34" i="4688"/>
  <c r="CC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U23" i="4677"/>
  <c r="N23" i="4677"/>
  <c r="G13" i="4681"/>
  <c r="W13" i="4681" s="1"/>
  <c r="G23" i="4677"/>
  <c r="U23" i="4686"/>
  <c r="U13" i="4681"/>
  <c r="AA13" i="4681" s="1"/>
  <c r="N16" i="4681"/>
  <c r="Y16" i="4681" s="1"/>
  <c r="N23" i="4686"/>
  <c r="G23" i="4686"/>
  <c r="U20" i="4681"/>
  <c r="AA20" i="4681" s="1"/>
  <c r="N23" i="4684"/>
  <c r="G14" i="4681"/>
  <c r="W14" i="4681" s="1"/>
  <c r="G23" i="4684"/>
  <c r="N22" i="4681"/>
  <c r="Y22" i="4681" s="1"/>
  <c r="N13" i="4681"/>
  <c r="Y13" i="4681" s="1"/>
  <c r="N23" i="4678"/>
  <c r="N11" i="4681"/>
  <c r="Y11" i="4681" s="1"/>
  <c r="G18" i="4681"/>
  <c r="W18" i="4681" s="1"/>
  <c r="G23" i="4678"/>
  <c r="U16" i="4681"/>
  <c r="AA16" i="4681" s="1"/>
  <c r="N18" i="4681"/>
  <c r="Y18" i="4681" s="1"/>
  <c r="N15" i="4681"/>
  <c r="Y15" i="4681" s="1"/>
  <c r="U17" i="4681"/>
  <c r="AA17" i="4681" s="1"/>
  <c r="U21" i="4681"/>
  <c r="AA21" i="4681" s="1"/>
  <c r="G16" i="4681"/>
  <c r="W16" i="4681" s="1"/>
  <c r="U14" i="4681"/>
  <c r="AA14" i="4681" s="1"/>
  <c r="U18" i="4681"/>
  <c r="AA18" i="4681" s="1"/>
  <c r="N12" i="4681"/>
  <c r="Y12" i="4681" s="1"/>
  <c r="G17" i="4681"/>
  <c r="W17" i="4681" s="1"/>
  <c r="G19" i="4681"/>
  <c r="W19" i="4681" s="1"/>
  <c r="U15" i="4681"/>
  <c r="AA15" i="4681" s="1"/>
  <c r="U19" i="4681"/>
  <c r="AA19" i="4681" s="1"/>
  <c r="N21" i="4681"/>
  <c r="Y21" i="4681" s="1"/>
  <c r="N10" i="4681"/>
  <c r="Y10" i="4681" s="1"/>
  <c r="G15" i="4681"/>
  <c r="W15" i="4681" s="1"/>
  <c r="N19" i="4681"/>
  <c r="Y19" i="4681" s="1"/>
  <c r="N17" i="4681"/>
  <c r="Y17" i="4681" s="1"/>
  <c r="N14" i="4681"/>
  <c r="Y14" i="4681" s="1"/>
  <c r="N20" i="4681"/>
  <c r="Y20" i="4681" s="1"/>
  <c r="AD31" i="4688" l="1"/>
  <c r="AO31" i="4688" s="1"/>
  <c r="AJ34" i="4688"/>
  <c r="BX22" i="4688" s="1"/>
  <c r="M31" i="4688"/>
  <c r="U31" i="4688" s="1"/>
  <c r="B31" i="4688"/>
  <c r="J31" i="4688" s="1"/>
  <c r="AM34" i="4688"/>
  <c r="CA22" i="4688" s="1"/>
  <c r="AN34" i="4688"/>
  <c r="CB22" i="4688" s="1"/>
  <c r="AD26" i="4688"/>
  <c r="AO26" i="4688" s="1"/>
  <c r="X34" i="4688"/>
  <c r="BM22" i="4688" s="1"/>
  <c r="Y34" i="4688"/>
  <c r="BN22" i="4688" s="1"/>
  <c r="Z34" i="4688"/>
  <c r="BO22" i="4688" s="1"/>
  <c r="T34" i="4688"/>
  <c r="BI22" i="4688" s="1"/>
  <c r="M26" i="4688"/>
  <c r="P26" i="4688" s="1"/>
  <c r="B26" i="4688"/>
  <c r="J26" i="4688" s="1"/>
  <c r="AL34" i="4688"/>
  <c r="BZ22" i="4688" s="1"/>
  <c r="AI34" i="4688"/>
  <c r="BW22" i="4688" s="1"/>
  <c r="AD21" i="4688"/>
  <c r="AF21" i="4688" s="1"/>
  <c r="AH34" i="4688"/>
  <c r="BV22" i="4688" s="1"/>
  <c r="AK34" i="4688"/>
  <c r="BY22" i="4688" s="1"/>
  <c r="AG34" i="4688"/>
  <c r="BU22" i="4688" s="1"/>
  <c r="V34" i="4688"/>
  <c r="BK22" i="4688" s="1"/>
  <c r="P34" i="4688"/>
  <c r="BE22" i="4688" s="1"/>
  <c r="G34" i="4688"/>
  <c r="AW22" i="4688" s="1"/>
  <c r="M21" i="4688"/>
  <c r="U21" i="4688" s="1"/>
  <c r="B21" i="4688"/>
  <c r="D21" i="4688" s="1"/>
  <c r="AD16" i="4688"/>
  <c r="AO16" i="4688" s="1"/>
  <c r="W34" i="4688"/>
  <c r="BL22" i="4688" s="1"/>
  <c r="M16" i="4688"/>
  <c r="Z16" i="4688" s="1"/>
  <c r="I34" i="4688"/>
  <c r="AY22" i="4688" s="1"/>
  <c r="E34" i="4688"/>
  <c r="AU22" i="4688" s="1"/>
  <c r="U34" i="4688"/>
  <c r="BJ22" i="4688" s="1"/>
  <c r="S34" i="4688"/>
  <c r="BH22" i="4688" s="1"/>
  <c r="Q34" i="4688"/>
  <c r="BF22" i="4688" s="1"/>
  <c r="R34" i="4688"/>
  <c r="BG22" i="4688" s="1"/>
  <c r="J34" i="4688"/>
  <c r="AZ22" i="4688" s="1"/>
  <c r="K34" i="4688"/>
  <c r="BA22" i="4688" s="1"/>
  <c r="H34" i="4688"/>
  <c r="AX22" i="4688" s="1"/>
  <c r="B16" i="4688"/>
  <c r="D16" i="4688" s="1"/>
  <c r="N23" i="4681"/>
  <c r="U23" i="4681"/>
  <c r="G23" i="4681"/>
  <c r="F24" i="4681" s="1"/>
  <c r="AK26" i="4688" l="1"/>
  <c r="U26" i="4688"/>
  <c r="Z21" i="4688"/>
  <c r="J21" i="4688"/>
  <c r="Z31" i="4688"/>
  <c r="AO21" i="4688"/>
  <c r="AF31" i="4688"/>
  <c r="AK31" i="4688"/>
  <c r="P31" i="4688"/>
  <c r="D31" i="4688"/>
  <c r="G31" i="4688"/>
  <c r="AF26" i="4688"/>
  <c r="Z26" i="4688"/>
  <c r="G26" i="4688"/>
  <c r="D26" i="4688"/>
  <c r="AK21" i="4688"/>
  <c r="AD35" i="4688"/>
  <c r="P21" i="4688"/>
  <c r="G21" i="4688"/>
  <c r="AK16" i="4688"/>
  <c r="AF16" i="4688"/>
  <c r="U16" i="4688"/>
  <c r="P16" i="4688"/>
  <c r="J16" i="4688"/>
  <c r="G16" i="4688"/>
  <c r="M35" i="4688"/>
  <c r="B35" i="4688"/>
  <c r="AC47" i="4695"/>
  <c r="AK7" i="4677"/>
  <c r="AK7" i="4684"/>
  <c r="AK7" i="4686"/>
  <c r="AK7" i="4678"/>
  <c r="AC10" i="4695"/>
  <c r="W7" i="4677"/>
  <c r="W7" i="4684"/>
  <c r="W7" i="4686"/>
  <c r="W7" i="4678"/>
  <c r="AD7" i="4686"/>
  <c r="AD7" i="4678"/>
  <c r="AC28" i="4695"/>
  <c r="AD7" i="4677"/>
  <c r="AD7" i="4684"/>
  <c r="H38" i="4695" l="1"/>
  <c r="E38" i="4695"/>
  <c r="C38" i="4695"/>
  <c r="F38" i="4695"/>
  <c r="D38" i="4695"/>
  <c r="H17" i="4695"/>
  <c r="F17" i="4695"/>
  <c r="D17" i="4695"/>
  <c r="E17" i="4695"/>
  <c r="C17" i="4695"/>
  <c r="H18" i="4695"/>
  <c r="E18" i="4695"/>
  <c r="F18" i="4695"/>
  <c r="D18" i="4695"/>
  <c r="C18" i="4695"/>
  <c r="H56" i="4695"/>
  <c r="E56" i="4695"/>
  <c r="F56" i="4695"/>
  <c r="D56" i="4695"/>
  <c r="C56" i="4695"/>
  <c r="H57" i="4695"/>
  <c r="E57" i="4695"/>
  <c r="C57" i="4695"/>
  <c r="F57" i="4695"/>
  <c r="D57" i="4695"/>
  <c r="H35" i="4695"/>
  <c r="E35" i="4695"/>
  <c r="F35" i="4695"/>
  <c r="D35" i="4695"/>
  <c r="C35" i="4695"/>
  <c r="H36" i="4695"/>
  <c r="E36" i="4695"/>
  <c r="C36" i="4695"/>
  <c r="F36" i="4695"/>
  <c r="D36" i="4695"/>
  <c r="H37" i="4695"/>
  <c r="E37" i="4695"/>
  <c r="F37" i="4695"/>
  <c r="D37" i="4695"/>
  <c r="C37" i="4695"/>
  <c r="F19" i="4695"/>
  <c r="D19" i="4695"/>
  <c r="H19" i="4695"/>
  <c r="E19" i="4695"/>
  <c r="C19" i="4695"/>
  <c r="H20" i="4695"/>
  <c r="E20" i="4695"/>
  <c r="C20" i="4695"/>
  <c r="F20" i="4695"/>
  <c r="D20" i="4695"/>
  <c r="H54" i="4695"/>
  <c r="E54" i="4695"/>
  <c r="F54" i="4695"/>
  <c r="D54" i="4695"/>
  <c r="C54" i="4695"/>
  <c r="H55" i="4695"/>
  <c r="E55" i="4695"/>
  <c r="C55" i="4695"/>
  <c r="F55" i="4695"/>
  <c r="D55" i="4695"/>
  <c r="G54" i="4695" l="1"/>
  <c r="I54" i="4695" s="1"/>
  <c r="J54" i="4695" s="1"/>
  <c r="L54" i="4695" s="1"/>
  <c r="M54" i="4695" s="1"/>
  <c r="G56" i="4695"/>
  <c r="I56" i="4695" s="1"/>
  <c r="J56" i="4695" s="1"/>
  <c r="L56" i="4695" s="1"/>
  <c r="M56" i="4695" s="1"/>
  <c r="G17" i="4695"/>
  <c r="I17" i="4695" s="1"/>
  <c r="J17" i="4695" s="1"/>
  <c r="L17" i="4695" s="1"/>
  <c r="AI17" i="4695" s="1"/>
  <c r="AK17" i="4695" s="1"/>
  <c r="AL17" i="4695" s="1"/>
  <c r="AM17" i="4695" s="1"/>
  <c r="G37" i="4695"/>
  <c r="I37" i="4695" s="1"/>
  <c r="J37" i="4695" s="1"/>
  <c r="L37" i="4695" s="1"/>
  <c r="AI37" i="4695" s="1"/>
  <c r="AK37" i="4695" s="1"/>
  <c r="AL37" i="4695" s="1"/>
  <c r="AM37" i="4695" s="1"/>
  <c r="G35" i="4695"/>
  <c r="I35" i="4695" s="1"/>
  <c r="J35" i="4695" s="1"/>
  <c r="L35" i="4695" s="1"/>
  <c r="M35" i="4695" s="1"/>
  <c r="G55" i="4695"/>
  <c r="P54" i="4695"/>
  <c r="G20" i="4695"/>
  <c r="I20" i="4695" s="1"/>
  <c r="J20" i="4695" s="1"/>
  <c r="L20" i="4695" s="1"/>
  <c r="G19" i="4695"/>
  <c r="I19" i="4695" s="1"/>
  <c r="J19" i="4695" s="1"/>
  <c r="L19" i="4695" s="1"/>
  <c r="G36" i="4695"/>
  <c r="I36" i="4695" s="1"/>
  <c r="J36" i="4695" s="1"/>
  <c r="L36" i="4695" s="1"/>
  <c r="G57" i="4695"/>
  <c r="G18" i="4695"/>
  <c r="I18" i="4695" s="1"/>
  <c r="J18" i="4695" s="1"/>
  <c r="L18" i="4695" s="1"/>
  <c r="G38" i="4695"/>
  <c r="AI35" i="4695" l="1"/>
  <c r="AK35" i="4695" s="1"/>
  <c r="AL35" i="4695" s="1"/>
  <c r="AM35" i="4695" s="1"/>
  <c r="AI54" i="4695"/>
  <c r="AK54" i="4695" s="1"/>
  <c r="AL54" i="4695" s="1"/>
  <c r="AM54" i="4695" s="1"/>
  <c r="M17" i="4695"/>
  <c r="AP17" i="4695" s="1"/>
  <c r="AI56" i="4695"/>
  <c r="AK56" i="4695" s="1"/>
  <c r="AL56" i="4695" s="1"/>
  <c r="AM56" i="4695" s="1"/>
  <c r="P17" i="4695"/>
  <c r="P35" i="4695"/>
  <c r="P56" i="4695"/>
  <c r="P20" i="4695"/>
  <c r="M37" i="4695"/>
  <c r="AP37" i="4695" s="1"/>
  <c r="P37" i="4695"/>
  <c r="I38" i="4695"/>
  <c r="J38" i="4695" s="1"/>
  <c r="L38" i="4695" s="1"/>
  <c r="P18" i="4695"/>
  <c r="P19" i="4695"/>
  <c r="AI18" i="4695"/>
  <c r="AK18" i="4695" s="1"/>
  <c r="AL18" i="4695" s="1"/>
  <c r="AM18" i="4695" s="1"/>
  <c r="M18" i="4695"/>
  <c r="P57" i="4695"/>
  <c r="I57" i="4695"/>
  <c r="J57" i="4695" s="1"/>
  <c r="L57" i="4695" s="1"/>
  <c r="M36" i="4695"/>
  <c r="AI36" i="4695"/>
  <c r="AK36" i="4695" s="1"/>
  <c r="AL36" i="4695" s="1"/>
  <c r="AM36" i="4695" s="1"/>
  <c r="M19" i="4695"/>
  <c r="AI19" i="4695"/>
  <c r="AK19" i="4695" s="1"/>
  <c r="AL19" i="4695" s="1"/>
  <c r="AM19" i="4695" s="1"/>
  <c r="AP54" i="4695"/>
  <c r="AF54" i="4695"/>
  <c r="P38" i="4695"/>
  <c r="AF56" i="4695"/>
  <c r="AP56" i="4695"/>
  <c r="AP35" i="4695"/>
  <c r="AF35" i="4695"/>
  <c r="P36" i="4695"/>
  <c r="AI20" i="4695"/>
  <c r="AK20" i="4695" s="1"/>
  <c r="AL20" i="4695" s="1"/>
  <c r="AM20" i="4695" s="1"/>
  <c r="M20" i="4695"/>
  <c r="P55" i="4695"/>
  <c r="I55" i="4695"/>
  <c r="J55" i="4695" s="1"/>
  <c r="L55" i="4695" s="1"/>
  <c r="AF37" i="4695" l="1"/>
  <c r="AF17" i="4695"/>
  <c r="AT35" i="4695"/>
  <c r="AQ35" i="4695"/>
  <c r="AT54" i="4695"/>
  <c r="AQ54" i="4695"/>
  <c r="M57" i="4695"/>
  <c r="AI57" i="4695"/>
  <c r="AK57" i="4695" s="1"/>
  <c r="AL57" i="4695" s="1"/>
  <c r="AM57" i="4695" s="1"/>
  <c r="AF18" i="4695"/>
  <c r="AP18" i="4695"/>
  <c r="M38" i="4695"/>
  <c r="AI38" i="4695"/>
  <c r="AK38" i="4695" s="1"/>
  <c r="AL38" i="4695" s="1"/>
  <c r="AM38" i="4695" s="1"/>
  <c r="AI55" i="4695"/>
  <c r="AK55" i="4695" s="1"/>
  <c r="AL55" i="4695" s="1"/>
  <c r="AM55" i="4695" s="1"/>
  <c r="M55" i="4695"/>
  <c r="AF20" i="4695"/>
  <c r="AP20" i="4695"/>
  <c r="AQ56" i="4695"/>
  <c r="AT56" i="4695"/>
  <c r="AX26" i="4695"/>
  <c r="AT17" i="4695"/>
  <c r="AQ17" i="4695"/>
  <c r="AP19" i="4695"/>
  <c r="AF19" i="4695"/>
  <c r="AP36" i="4695"/>
  <c r="AF36" i="4695"/>
  <c r="AT37" i="4695"/>
  <c r="AQ37" i="4695"/>
  <c r="AU56" i="4695" l="1"/>
  <c r="AV56" i="4695" s="1"/>
  <c r="AU37" i="4695"/>
  <c r="AX37" i="4695" s="1"/>
  <c r="AU17" i="4695"/>
  <c r="AV17" i="4695" s="1"/>
  <c r="AQ36" i="4695"/>
  <c r="AT36" i="4695"/>
  <c r="AT19" i="4695"/>
  <c r="AQ19" i="4695"/>
  <c r="AT20" i="4695"/>
  <c r="AQ20" i="4695"/>
  <c r="AP55" i="4695"/>
  <c r="AF55" i="4695"/>
  <c r="AX63" i="4695"/>
  <c r="AT18" i="4695"/>
  <c r="AQ18" i="4695"/>
  <c r="AU54" i="4695"/>
  <c r="AU35" i="4695"/>
  <c r="AP38" i="4695"/>
  <c r="AF38" i="4695"/>
  <c r="AX44" i="4695"/>
  <c r="AP57" i="4695"/>
  <c r="AF57" i="4695"/>
  <c r="AV37" i="4695" l="1"/>
  <c r="AX56" i="4695"/>
  <c r="AX17" i="4695"/>
  <c r="AU18" i="4695"/>
  <c r="AX18" i="4695" s="1"/>
  <c r="AU36" i="4695"/>
  <c r="AX36" i="4695" s="1"/>
  <c r="AQ38" i="4695"/>
  <c r="AT38" i="4695"/>
  <c r="AX54" i="4695"/>
  <c r="AV54" i="4695"/>
  <c r="AU20" i="4695"/>
  <c r="AU19" i="4695"/>
  <c r="AT57" i="4695"/>
  <c r="AQ57" i="4695"/>
  <c r="AX35" i="4695"/>
  <c r="AV35" i="4695"/>
  <c r="AT55" i="4695"/>
  <c r="AQ55" i="4695"/>
  <c r="AV18" i="4695" l="1"/>
  <c r="AV36" i="4695"/>
  <c r="AU57" i="4695"/>
  <c r="AX57" i="4695" s="1"/>
  <c r="AU38" i="4695"/>
  <c r="AV38" i="4695" s="1"/>
  <c r="AV19" i="4695"/>
  <c r="AX19" i="4695"/>
  <c r="AU55" i="4695"/>
  <c r="AV20" i="4695"/>
  <c r="AX20" i="4695"/>
  <c r="AV57" i="4695" l="1"/>
  <c r="AX38" i="4695"/>
  <c r="AX43" i="4695" s="1"/>
  <c r="AV30" i="4695" s="1"/>
  <c r="AV31" i="4695" s="1"/>
  <c r="AX55" i="4695"/>
  <c r="AX62" i="4695" s="1"/>
  <c r="AV49" i="4695" s="1"/>
  <c r="AV50" i="4695" s="1"/>
  <c r="AV55" i="4695"/>
  <c r="AX25" i="4695"/>
  <c r="AV12" i="4695" s="1"/>
  <c r="AV13" i="4695" s="1"/>
</calcChain>
</file>

<file path=xl/sharedStrings.xml><?xml version="1.0" encoding="utf-8"?>
<sst xmlns="http://schemas.openxmlformats.org/spreadsheetml/2006/main" count="1334" uniqueCount="232">
  <si>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</si>
  <si>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</si>
  <si>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</si>
  <si>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</si>
  <si>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</si>
  <si>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</si>
  <si>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</si>
  <si>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</si>
  <si>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</si>
  <si>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</si>
  <si>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</si>
  <si>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</si>
  <si>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</si>
  <si>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</si>
  <si>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</si>
  <si>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</si>
  <si>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</si>
  <si>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</si>
  <si>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</si>
  <si>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</si>
  <si>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</si>
  <si>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</si>
  <si>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</si>
  <si>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</si>
  <si>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</si>
  <si>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</si>
  <si>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</si>
  <si>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</si>
  <si>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</si>
  <si>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</si>
  <si>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</si>
  <si>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</si>
  <si>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</si>
  <si>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</si>
  <si>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</si>
  <si>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</si>
  <si>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</si>
  <si>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</si>
  <si>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</si>
  <si>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</si>
  <si>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</si>
  <si>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</si>
  <si>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</si>
  <si>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</si>
  <si>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</si>
  <si>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</si>
  <si>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</si>
  <si>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</si>
  <si>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</si>
  <si>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</si>
  <si>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</si>
  <si>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</si>
  <si>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</si>
  <si>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</si>
  <si>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</si>
  <si>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</si>
  <si>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</si>
  <si>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</si>
  <si>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</si>
  <si>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</si>
  <si>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</si>
  <si>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</si>
  <si>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</si>
  <si>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</si>
  <si>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</si>
  <si>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</si>
  <si>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</si>
  <si>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</si>
  <si>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</si>
  <si>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</si>
  <si>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</si>
  <si>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</si>
  <si>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</si>
  <si>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</si>
  <si>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</si>
  <si>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</si>
  <si>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</si>
  <si>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</si>
  <si>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</si>
  <si>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</si>
  <si>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</si>
  <si>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</si>
  <si>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</si>
  <si>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</si>
  <si>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</si>
  <si>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</si>
  <si>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</si>
  <si>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</si>
  <si>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</si>
  <si>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</si>
  <si>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</si>
  <si>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</si>
  <si>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</si>
  <si>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</si>
  <si>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</si>
  <si>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</si>
  <si>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</si>
  <si>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</si>
  <si>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</si>
  <si>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</si>
  <si>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</si>
  <si>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</si>
  <si>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</si>
  <si>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</si>
  <si>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</si>
  <si>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</si>
  <si>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</si>
  <si>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</si>
  <si>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</si>
  <si>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</si>
  <si>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</si>
  <si>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</si>
  <si>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</si>
  <si>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</si>
  <si>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</si>
  <si>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</si>
  <si>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</si>
  <si>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</si>
  <si>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</si>
  <si>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</si>
  <si>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</si>
  <si>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</si>
  <si>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</si>
  <si>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</si>
  <si>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</si>
  <si>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</si>
  <si>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</si>
  <si>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</si>
  <si>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</si>
  <si>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</si>
  <si>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</si>
  <si>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</si>
  <si>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</si>
  <si>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</si>
  <si>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</si>
  <si>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</si>
  <si>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</si>
  <si>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</si>
  <si>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</si>
  <si>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</si>
  <si>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</si>
  <si>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</si>
  <si>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</si>
  <si>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</si>
  <si>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</si>
  <si>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</si>
  <si>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</si>
  <si>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</si>
  <si>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</si>
  <si>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</si>
  <si>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</si>
  <si>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</si>
  <si>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-</t>
  </si>
  <si>
    <t>Análisis Condiciones de Saturación y Longitud de Cola</t>
  </si>
  <si>
    <t>Automation and Control</t>
  </si>
  <si>
    <t>Consecutivo</t>
  </si>
  <si>
    <t>Fecha de Aforo</t>
  </si>
  <si>
    <t xml:space="preserve">Contrato No. : </t>
  </si>
  <si>
    <t>DIRECCIÓN:</t>
  </si>
  <si>
    <t>NÚMERO EXTERNO:</t>
  </si>
  <si>
    <t xml:space="preserve">Tiempo de Ciclo: </t>
  </si>
  <si>
    <t>Ruta Critica:</t>
  </si>
  <si>
    <t>Sumatoria de Tiempos Intermedios:</t>
  </si>
  <si>
    <t>Demora en la Intersección:</t>
  </si>
  <si>
    <t>Ciclos / Hora:</t>
  </si>
  <si>
    <t>Sumatoria Indices de Saturación Ruta Crítica:</t>
  </si>
  <si>
    <t>Grado de Saturación Crítico:</t>
  </si>
  <si>
    <t>Nivel de Servicio Intersección:</t>
  </si>
  <si>
    <t>Grupo</t>
  </si>
  <si>
    <t>N° Carriles</t>
  </si>
  <si>
    <t>Demandas por Grupo</t>
  </si>
  <si>
    <t>Vol. Max. 15 Min.</t>
  </si>
  <si>
    <t>Factor de Hora Pico F.H.P.</t>
  </si>
  <si>
    <t>Intensidad por Acceso  (V.Eq/H)</t>
  </si>
  <si>
    <t>Factor de Utilización del Carril U</t>
  </si>
  <si>
    <t>Intensidad Ajustada por Carril  (V.Eq/H)</t>
  </si>
  <si>
    <t>Intensidad Ajustada por Acceso  (V.Eq/H)</t>
  </si>
  <si>
    <t>Flujo de Saturación por Carril            (V. Eq/H)</t>
  </si>
  <si>
    <t>Ancho de Carril (Mts)</t>
  </si>
  <si>
    <t>Vehiculos Pesados</t>
  </si>
  <si>
    <t>Inclinación Rasante</t>
  </si>
  <si>
    <t>Estacionamientos por Hora</t>
  </si>
  <si>
    <t>Parada Buses por Hora</t>
  </si>
  <si>
    <t>Tipo de Area</t>
  </si>
  <si>
    <t>Giro Derecho</t>
  </si>
  <si>
    <t>Giro Izquierdo</t>
  </si>
  <si>
    <t>FACTORES DE REDUCCION POR:</t>
  </si>
  <si>
    <t xml:space="preserve">Flujo de Saturación Ajustado por Acceso (V. Eq/H) </t>
  </si>
  <si>
    <t>Indice de Saturación</t>
  </si>
  <si>
    <t>T.B. (Seg)</t>
  </si>
  <si>
    <t>T.V. (Seg)</t>
  </si>
  <si>
    <t>Arribos por Ciclo Carril (Veh)</t>
  </si>
  <si>
    <t>Despeje por Ciclo Carril (Veh)</t>
  </si>
  <si>
    <t>Colas Por Carril</t>
  </si>
  <si>
    <t>T.V./C</t>
  </si>
  <si>
    <t>Qmax. (Veh. Eq/ H)</t>
  </si>
  <si>
    <t>X             I / Qmax</t>
  </si>
  <si>
    <t xml:space="preserve">Demora Uniforme D1  (Seg/Veh) </t>
  </si>
  <si>
    <t>Factor de Ajuste Demora FD</t>
  </si>
  <si>
    <t>Factor de Calibración de D2</t>
  </si>
  <si>
    <t>Demora Incremental D2  (Seg/Veh)</t>
  </si>
  <si>
    <t>Demora Total por Acceso (Seg/Veh)</t>
  </si>
  <si>
    <t>Nivel de Servicio por Acceso</t>
  </si>
  <si>
    <t>Moto</t>
  </si>
  <si>
    <t>Auto</t>
  </si>
  <si>
    <t>Bus</t>
  </si>
  <si>
    <t>Camión</t>
  </si>
  <si>
    <t>V.Eq/H</t>
  </si>
  <si>
    <r>
      <t>Ancho Carril  f</t>
    </r>
    <r>
      <rPr>
        <vertAlign val="subscript"/>
        <sz val="8"/>
        <rFont val="Arial"/>
        <family val="2"/>
      </rPr>
      <t>A</t>
    </r>
  </si>
  <si>
    <r>
      <t>Veh. Pesados f</t>
    </r>
    <r>
      <rPr>
        <vertAlign val="subscript"/>
        <sz val="8"/>
        <rFont val="Arial"/>
        <family val="2"/>
      </rPr>
      <t>VP</t>
    </r>
  </si>
  <si>
    <r>
      <t>Inclinación Rasante    f</t>
    </r>
    <r>
      <rPr>
        <vertAlign val="subscript"/>
        <sz val="8"/>
        <rFont val="Arial"/>
        <family val="2"/>
      </rPr>
      <t>i</t>
    </r>
  </si>
  <si>
    <r>
      <t>Estacionamiento     f</t>
    </r>
    <r>
      <rPr>
        <vertAlign val="subscript"/>
        <sz val="8"/>
        <rFont val="Arial"/>
        <family val="2"/>
      </rPr>
      <t>e</t>
    </r>
  </si>
  <si>
    <r>
      <t>Parada  Buses  f</t>
    </r>
    <r>
      <rPr>
        <vertAlign val="subscript"/>
        <sz val="8"/>
        <rFont val="Arial"/>
        <family val="2"/>
      </rPr>
      <t>bb</t>
    </r>
  </si>
  <si>
    <r>
      <t>Tipo Area  f</t>
    </r>
    <r>
      <rPr>
        <vertAlign val="subscript"/>
        <sz val="8"/>
        <rFont val="Arial"/>
        <family val="2"/>
      </rPr>
      <t>a</t>
    </r>
  </si>
  <si>
    <r>
      <t>Giro Derecho f</t>
    </r>
    <r>
      <rPr>
        <vertAlign val="subscript"/>
        <sz val="8"/>
        <rFont val="Arial"/>
        <family val="2"/>
      </rPr>
      <t>MC</t>
    </r>
  </si>
  <si>
    <r>
      <t>Giro Izquierdo f</t>
    </r>
    <r>
      <rPr>
        <vertAlign val="subscript"/>
        <sz val="8"/>
        <rFont val="Arial"/>
        <family val="2"/>
      </rPr>
      <t>MI</t>
    </r>
  </si>
  <si>
    <t>Veh. Ciclo</t>
  </si>
  <si>
    <t>Veh. Hora</t>
  </si>
  <si>
    <t>En Mts</t>
  </si>
  <si>
    <t>O.Z.</t>
  </si>
  <si>
    <t>D</t>
  </si>
  <si>
    <t>E</t>
  </si>
  <si>
    <t>F</t>
  </si>
  <si>
    <t>2-4</t>
  </si>
  <si>
    <t>Max 15 Min</t>
  </si>
  <si>
    <t>A&amp;C ITS 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</si>
  <si>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SITUACIÓN ACTUAL   -   HORA PICO: </t>
  </si>
  <si>
    <t xml:space="preserve">                                                                                                                                                                                          SITUACIÓN ACTUAL   -   HORA PICO: </t>
  </si>
  <si>
    <t>JHONY NAVARRO</t>
  </si>
  <si>
    <t>CALLE 81 - CARRERA 69</t>
  </si>
  <si>
    <t>7:30 - 9:30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</si>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</sst>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[Red]\(0\)"/>
    <numFmt numFmtId="165" formatCode="0.0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40"/>
      <name val="SIEMENS-Firmenmarke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20"/>
      <name val="Arial"/>
      <family val="2"/>
    </font>
    <font>
      <vertAlign val="subscript"/>
      <sz val="8"/>
      <name val="Arial"/>
      <family val="2"/>
    </font>
    <font>
      <sz val="10"/>
      <color rgb="FF0070C0"/>
      <name val="Arial"/>
      <family val="2"/>
    </font>
    <font>
      <sz val="12"/>
      <color rgb="FF0070C0"/>
      <name val="Arial"/>
      <family val="2"/>
    </font>
    <font>
      <sz val="14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4" fillId="0" borderId="0" xfId="0" applyFont="1" applyProtection="1"/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Continuous" vertical="center"/>
    </xf>
    <xf numFmtId="1" fontId="4" fillId="0" borderId="1" xfId="0" applyNumberFormat="1" applyFont="1" applyBorder="1" applyAlignment="1" applyProtection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/>
    </xf>
    <xf numFmtId="1" fontId="4" fillId="0" borderId="5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quotePrefix="1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20" fontId="9" fillId="0" borderId="1" xfId="0" applyNumberFormat="1" applyFont="1" applyBorder="1" applyAlignment="1" applyProtection="1">
      <alignment horizontal="center" vertical="center" wrapText="1"/>
    </xf>
    <xf numFmtId="20" fontId="9" fillId="0" borderId="3" xfId="0" applyNumberFormat="1" applyFont="1" applyBorder="1" applyAlignment="1" applyProtection="1">
      <alignment horizontal="center" vertical="center" wrapText="1"/>
    </xf>
    <xf numFmtId="20" fontId="9" fillId="0" borderId="8" xfId="0" applyNumberFormat="1" applyFont="1" applyBorder="1" applyAlignment="1" applyProtection="1">
      <alignment horizontal="center" vertical="center" wrapText="1"/>
    </xf>
    <xf numFmtId="20" fontId="9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NumberFormat="1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16" fillId="0" borderId="0" xfId="0" applyNumberFormat="1" applyFont="1" applyAlignment="1" applyProtection="1">
      <alignment vertical="center"/>
    </xf>
    <xf numFmtId="49" fontId="9" fillId="0" borderId="9" xfId="0" applyNumberFormat="1" applyFont="1" applyBorder="1" applyAlignment="1" applyProtection="1">
      <alignment horizontal="left" vertical="center"/>
    </xf>
    <xf numFmtId="0" fontId="10" fillId="0" borderId="10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49" fontId="8" fillId="0" borderId="10" xfId="0" applyNumberFormat="1" applyFont="1" applyBorder="1" applyAlignment="1" applyProtection="1">
      <alignment vertical="center"/>
    </xf>
    <xf numFmtId="49" fontId="16" fillId="0" borderId="10" xfId="0" applyNumberFormat="1" applyFont="1" applyBorder="1" applyAlignment="1" applyProtection="1">
      <alignment vertical="center"/>
    </xf>
    <xf numFmtId="1" fontId="4" fillId="0" borderId="1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1" fontId="4" fillId="0" borderId="6" xfId="0" applyNumberFormat="1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9" fontId="8" fillId="0" borderId="9" xfId="0" applyNumberFormat="1" applyFont="1" applyBorder="1" applyAlignment="1" applyProtection="1">
      <alignment vertical="center"/>
    </xf>
    <xf numFmtId="49" fontId="16" fillId="0" borderId="9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/>
    </xf>
    <xf numFmtId="0" fontId="8" fillId="0" borderId="0" xfId="0" quotePrefix="1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20" fontId="9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20" fontId="9" fillId="0" borderId="3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20" fontId="9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/>
    </xf>
    <xf numFmtId="20" fontId="9" fillId="0" borderId="8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1" fontId="4" fillId="0" borderId="0" xfId="0" applyNumberFormat="1" applyFont="1" applyProtection="1"/>
    <xf numFmtId="0" fontId="8" fillId="0" borderId="4" xfId="0" applyFont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1" fontId="6" fillId="0" borderId="1" xfId="0" applyNumberFormat="1" applyFont="1" applyBorder="1" applyAlignment="1" applyProtection="1">
      <alignment horizontal="center" vertical="center"/>
    </xf>
    <xf numFmtId="1" fontId="6" fillId="0" borderId="3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3" fillId="0" borderId="0" xfId="0" applyFont="1"/>
    <xf numFmtId="20" fontId="3" fillId="0" borderId="0" xfId="0" applyNumberFormat="1" applyFont="1"/>
    <xf numFmtId="0" fontId="17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/>
    <xf numFmtId="0" fontId="3" fillId="0" borderId="1" xfId="0" applyFont="1" applyBorder="1"/>
    <xf numFmtId="20" fontId="3" fillId="0" borderId="1" xfId="0" applyNumberFormat="1" applyFont="1" applyBorder="1" applyAlignment="1">
      <alignment horizontal="center"/>
    </xf>
    <xf numFmtId="20" fontId="3" fillId="0" borderId="0" xfId="0" applyNumberFormat="1" applyFont="1" applyBorder="1" applyAlignment="1">
      <alignment horizontal="center"/>
    </xf>
    <xf numFmtId="1" fontId="3" fillId="0" borderId="1" xfId="0" applyNumberFormat="1" applyFont="1" applyBorder="1"/>
    <xf numFmtId="1" fontId="3" fillId="0" borderId="0" xfId="0" applyNumberFormat="1" applyFont="1"/>
    <xf numFmtId="0" fontId="19" fillId="0" borderId="0" xfId="0" applyFont="1" applyAlignment="1">
      <alignment horizont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0" fillId="2" borderId="0" xfId="0" applyFont="1" applyFill="1" applyBorder="1" applyAlignment="1">
      <alignment vertical="center"/>
    </xf>
    <xf numFmtId="49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" fontId="10" fillId="0" borderId="0" xfId="0" applyNumberFormat="1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2" fontId="4" fillId="0" borderId="6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1" fontId="4" fillId="0" borderId="20" xfId="0" applyNumberFormat="1" applyFont="1" applyFill="1" applyBorder="1" applyAlignment="1" applyProtection="1">
      <alignment horizontal="center" vertical="center"/>
    </xf>
    <xf numFmtId="2" fontId="4" fillId="0" borderId="2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1" fontId="4" fillId="0" borderId="19" xfId="0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vertical="center"/>
    </xf>
    <xf numFmtId="1" fontId="4" fillId="0" borderId="22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9" fillId="0" borderId="0" xfId="0" quotePrefix="1" applyFont="1" applyFill="1" applyBorder="1" applyAlignment="1" applyProtection="1">
      <alignment horizontal="right" vertical="center"/>
    </xf>
    <xf numFmtId="20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49" fontId="14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20" fillId="0" borderId="9" xfId="0" applyFont="1" applyFill="1" applyBorder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4" fillId="0" borderId="0" xfId="0" applyFont="1"/>
    <xf numFmtId="1" fontId="4" fillId="0" borderId="1" xfId="0" applyNumberFormat="1" applyFont="1" applyBorder="1"/>
    <xf numFmtId="1" fontId="4" fillId="0" borderId="0" xfId="0" applyNumberFormat="1" applyFont="1"/>
    <xf numFmtId="0" fontId="4" fillId="0" borderId="4" xfId="0" applyFont="1" applyBorder="1"/>
    <xf numFmtId="0" fontId="4" fillId="0" borderId="10" xfId="0" applyFont="1" applyBorder="1"/>
    <xf numFmtId="9" fontId="4" fillId="0" borderId="10" xfId="0" applyNumberFormat="1" applyFont="1" applyBorder="1"/>
    <xf numFmtId="0" fontId="4" fillId="0" borderId="12" xfId="0" applyFont="1" applyBorder="1"/>
    <xf numFmtId="9" fontId="4" fillId="0" borderId="12" xfId="0" applyNumberFormat="1" applyFont="1" applyBorder="1"/>
    <xf numFmtId="0" fontId="24" fillId="0" borderId="0" xfId="0" applyFont="1" applyAlignment="1">
      <alignment horizontal="center"/>
    </xf>
    <xf numFmtId="0" fontId="4" fillId="0" borderId="19" xfId="0" applyFont="1" applyBorder="1"/>
    <xf numFmtId="0" fontId="4" fillId="0" borderId="0" xfId="0" applyFont="1" applyBorder="1" applyAlignment="1" applyProtection="1">
      <alignment horizontal="center" vertical="center"/>
    </xf>
    <xf numFmtId="0" fontId="3" fillId="0" borderId="4" xfId="0" applyFont="1" applyBorder="1"/>
    <xf numFmtId="1" fontId="24" fillId="0" borderId="4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38" fontId="24" fillId="0" borderId="10" xfId="0" applyNumberFormat="1" applyFont="1" applyBorder="1" applyAlignment="1">
      <alignment horizontal="center"/>
    </xf>
    <xf numFmtId="164" fontId="24" fillId="0" borderId="12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center"/>
    </xf>
    <xf numFmtId="1" fontId="3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 applyProtection="1">
      <alignment horizontal="center"/>
    </xf>
    <xf numFmtId="0" fontId="0" fillId="0" borderId="0" xfId="0" applyBorder="1"/>
    <xf numFmtId="1" fontId="0" fillId="0" borderId="0" xfId="0" applyNumberFormat="1"/>
    <xf numFmtId="0" fontId="20" fillId="3" borderId="19" xfId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</xf>
    <xf numFmtId="2" fontId="20" fillId="3" borderId="32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  <protection locked="0"/>
    </xf>
    <xf numFmtId="3" fontId="20" fillId="3" borderId="19" xfId="1" applyNumberFormat="1" applyFont="1" applyFill="1" applyBorder="1" applyAlignment="1" applyProtection="1">
      <alignment horizontal="center" vertical="center"/>
      <protection locked="0"/>
    </xf>
    <xf numFmtId="9" fontId="20" fillId="3" borderId="19" xfId="2" applyFont="1" applyFill="1" applyBorder="1" applyAlignment="1" applyProtection="1">
      <alignment horizontal="center" vertical="center"/>
    </xf>
    <xf numFmtId="9" fontId="20" fillId="3" borderId="19" xfId="2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  <protection locked="0"/>
    </xf>
    <xf numFmtId="2" fontId="20" fillId="3" borderId="19" xfId="1" applyNumberFormat="1" applyFont="1" applyFill="1" applyBorder="1" applyAlignment="1" applyProtection="1">
      <alignment horizontal="center" vertical="center"/>
    </xf>
    <xf numFmtId="3" fontId="20" fillId="3" borderId="20" xfId="1" applyNumberFormat="1" applyFont="1" applyFill="1" applyBorder="1" applyAlignment="1" applyProtection="1">
      <alignment horizontal="center" vertical="center"/>
    </xf>
    <xf numFmtId="2" fontId="20" fillId="3" borderId="20" xfId="1" applyNumberFormat="1" applyFont="1" applyFill="1" applyBorder="1" applyAlignment="1" applyProtection="1">
      <alignment horizontal="center" vertical="center"/>
    </xf>
    <xf numFmtId="0" fontId="29" fillId="3" borderId="19" xfId="1" applyFont="1" applyFill="1" applyBorder="1" applyAlignment="1" applyProtection="1">
      <alignment horizontal="center" vertical="center"/>
      <protection locked="0"/>
    </xf>
    <xf numFmtId="1" fontId="20" fillId="3" borderId="19" xfId="1" applyNumberFormat="1" applyFont="1" applyFill="1" applyBorder="1" applyAlignment="1" applyProtection="1">
      <alignment horizontal="center" vertical="center"/>
    </xf>
    <xf numFmtId="165" fontId="20" fillId="3" borderId="19" xfId="1" applyNumberFormat="1" applyFont="1" applyFill="1" applyBorder="1" applyAlignment="1" applyProtection="1">
      <alignment horizontal="center" vertical="center"/>
    </xf>
    <xf numFmtId="4" fontId="20" fillId="3" borderId="19" xfId="1" applyNumberFormat="1" applyFont="1" applyFill="1" applyBorder="1" applyAlignment="1" applyProtection="1">
      <alignment horizontal="center" vertical="center"/>
    </xf>
    <xf numFmtId="4" fontId="20" fillId="3" borderId="33" xfId="1" applyNumberFormat="1" applyFont="1" applyFill="1" applyBorder="1" applyAlignment="1" applyProtection="1">
      <alignment horizontal="center" vertical="center"/>
    </xf>
    <xf numFmtId="0" fontId="20" fillId="3" borderId="34" xfId="1" applyFont="1" applyFill="1" applyBorder="1" applyAlignment="1" applyProtection="1">
      <alignment horizontal="center" vertical="center"/>
    </xf>
    <xf numFmtId="0" fontId="20" fillId="3" borderId="20" xfId="1" applyFont="1" applyFill="1" applyBorder="1" applyAlignment="1" applyProtection="1">
      <alignment horizontal="center" vertical="center"/>
      <protection locked="0"/>
    </xf>
    <xf numFmtId="0" fontId="29" fillId="3" borderId="20" xfId="1" applyFont="1" applyFill="1" applyBorder="1" applyAlignment="1" applyProtection="1">
      <alignment horizontal="center" vertical="center"/>
      <protection locked="0"/>
    </xf>
    <xf numFmtId="2" fontId="20" fillId="3" borderId="20" xfId="1" applyNumberFormat="1" applyFont="1" applyFill="1" applyBorder="1" applyAlignment="1" applyProtection="1">
      <alignment horizontal="center" vertical="center"/>
      <protection locked="0"/>
    </xf>
    <xf numFmtId="3" fontId="20" fillId="3" borderId="20" xfId="1" applyNumberFormat="1" applyFont="1" applyFill="1" applyBorder="1" applyAlignment="1" applyProtection="1">
      <alignment horizontal="center" vertical="center"/>
      <protection locked="0"/>
    </xf>
    <xf numFmtId="9" fontId="20" fillId="3" borderId="20" xfId="2" applyFont="1" applyFill="1" applyBorder="1" applyAlignment="1" applyProtection="1">
      <alignment horizontal="center" vertical="center"/>
    </xf>
    <xf numFmtId="9" fontId="20" fillId="3" borderId="20" xfId="2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  <protection locked="0"/>
    </xf>
    <xf numFmtId="1" fontId="20" fillId="3" borderId="20" xfId="1" applyNumberFormat="1" applyFont="1" applyFill="1" applyBorder="1" applyAlignment="1" applyProtection="1">
      <alignment horizontal="center" vertical="center"/>
    </xf>
    <xf numFmtId="165" fontId="20" fillId="3" borderId="20" xfId="1" applyNumberFormat="1" applyFont="1" applyFill="1" applyBorder="1" applyAlignment="1" applyProtection="1">
      <alignment horizontal="center" vertical="center"/>
    </xf>
    <xf numFmtId="4" fontId="20" fillId="3" borderId="20" xfId="1" applyNumberFormat="1" applyFont="1" applyFill="1" applyBorder="1" applyAlignment="1" applyProtection="1">
      <alignment horizontal="center" vertical="center"/>
    </xf>
    <xf numFmtId="4" fontId="20" fillId="3" borderId="36" xfId="1" applyNumberFormat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/>
    </xf>
    <xf numFmtId="0" fontId="4" fillId="5" borderId="0" xfId="0" applyFont="1" applyFill="1" applyAlignment="1" applyProtection="1">
      <alignment horizontal="center"/>
    </xf>
    <xf numFmtId="0" fontId="4" fillId="6" borderId="0" xfId="0" applyFont="1" applyFill="1" applyAlignment="1" applyProtection="1">
      <alignment horizontal="center"/>
    </xf>
    <xf numFmtId="0" fontId="4" fillId="6" borderId="0" xfId="0" applyFont="1" applyFill="1" applyProtection="1"/>
    <xf numFmtId="0" fontId="4" fillId="5" borderId="0" xfId="0" applyFont="1" applyFill="1" applyProtection="1"/>
    <xf numFmtId="0" fontId="4" fillId="4" borderId="0" xfId="0" applyFont="1" applyFill="1" applyProtection="1"/>
    <xf numFmtId="0" fontId="34" fillId="0" borderId="19" xfId="1" applyFont="1" applyFill="1" applyBorder="1" applyAlignment="1" applyProtection="1">
      <alignment horizontal="center" vertical="center"/>
      <protection locked="0"/>
    </xf>
    <xf numFmtId="0" fontId="34" fillId="0" borderId="20" xfId="1" applyFont="1" applyFill="1" applyBorder="1" applyAlignment="1" applyProtection="1">
      <alignment horizontal="center" vertical="center"/>
      <protection locked="0"/>
    </xf>
    <xf numFmtId="3" fontId="34" fillId="0" borderId="20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2" fontId="34" fillId="0" borderId="32" xfId="0" applyNumberFormat="1" applyFont="1" applyBorder="1" applyAlignment="1">
      <alignment horizontal="center" vertical="center"/>
    </xf>
    <xf numFmtId="2" fontId="34" fillId="0" borderId="20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4" fillId="3" borderId="19" xfId="1" applyNumberFormat="1" applyFont="1" applyFill="1" applyBorder="1" applyAlignment="1" applyProtection="1">
      <alignment horizontal="center" vertical="center"/>
    </xf>
    <xf numFmtId="3" fontId="34" fillId="3" borderId="20" xfId="1" applyNumberFormat="1" applyFont="1" applyFill="1" applyBorder="1" applyAlignment="1" applyProtection="1">
      <alignment horizontal="center" vertical="center"/>
    </xf>
    <xf numFmtId="0" fontId="25" fillId="3" borderId="0" xfId="3" applyFont="1" applyFill="1" applyAlignment="1" applyProtection="1">
      <alignment horizontal="left" vertical="center"/>
      <protection locked="0"/>
    </xf>
    <xf numFmtId="0" fontId="20" fillId="3" borderId="0" xfId="3" applyFont="1" applyFill="1" applyProtection="1">
      <protection locked="0"/>
    </xf>
    <xf numFmtId="0" fontId="26" fillId="3" borderId="0" xfId="3" applyFont="1" applyFill="1" applyProtection="1"/>
    <xf numFmtId="0" fontId="26" fillId="3" borderId="0" xfId="3" applyFont="1" applyFill="1" applyProtection="1">
      <protection locked="0"/>
    </xf>
    <xf numFmtId="0" fontId="27" fillId="3" borderId="0" xfId="3" applyFont="1" applyFill="1" applyAlignment="1" applyProtection="1">
      <alignment horizontal="left"/>
      <protection locked="0"/>
    </xf>
    <xf numFmtId="0" fontId="17" fillId="3" borderId="0" xfId="3" applyFont="1" applyFill="1" applyAlignment="1" applyProtection="1">
      <alignment horizontal="left"/>
      <protection locked="0"/>
    </xf>
    <xf numFmtId="0" fontId="3" fillId="3" borderId="7" xfId="3" applyFont="1" applyFill="1" applyBorder="1" applyAlignment="1" applyProtection="1">
      <alignment horizontal="centerContinuous" vertical="top"/>
      <protection locked="0"/>
    </xf>
    <xf numFmtId="0" fontId="20" fillId="3" borderId="5" xfId="3" applyFont="1" applyFill="1" applyBorder="1" applyAlignment="1" applyProtection="1">
      <alignment horizontal="centerContinuous"/>
      <protection locked="0"/>
    </xf>
    <xf numFmtId="0" fontId="3" fillId="3" borderId="21" xfId="3" applyFont="1" applyFill="1" applyBorder="1" applyAlignment="1" applyProtection="1">
      <alignment horizontal="centerContinuous" vertical="top"/>
      <protection locked="0"/>
    </xf>
    <xf numFmtId="0" fontId="28" fillId="3" borderId="0" xfId="3" applyFont="1" applyFill="1" applyAlignment="1" applyProtection="1">
      <alignment horizontal="left"/>
      <protection locked="0"/>
    </xf>
    <xf numFmtId="0" fontId="20" fillId="3" borderId="15" xfId="3" applyFont="1" applyFill="1" applyBorder="1" applyAlignment="1" applyProtection="1">
      <alignment horizontal="center"/>
      <protection locked="0"/>
    </xf>
    <xf numFmtId="0" fontId="20" fillId="3" borderId="8" xfId="3" applyFont="1" applyFill="1" applyBorder="1" applyProtection="1">
      <protection locked="0"/>
    </xf>
    <xf numFmtId="0" fontId="23" fillId="3" borderId="0" xfId="3" applyFont="1" applyFill="1" applyAlignment="1" applyProtection="1">
      <alignment horizontal="left"/>
      <protection locked="0"/>
    </xf>
    <xf numFmtId="0" fontId="20" fillId="3" borderId="0" xfId="3" applyFont="1" applyFill="1" applyBorder="1" applyProtection="1">
      <protection locked="0"/>
    </xf>
    <xf numFmtId="0" fontId="17" fillId="3" borderId="0" xfId="3" applyFont="1" applyFill="1" applyAlignment="1" applyProtection="1">
      <alignment horizontal="right"/>
      <protection locked="0"/>
    </xf>
    <xf numFmtId="0" fontId="20" fillId="3" borderId="0" xfId="3" applyFont="1" applyFill="1" applyBorder="1" applyAlignment="1" applyProtection="1">
      <alignment horizontal="centerContinuous"/>
      <protection locked="0"/>
    </xf>
    <xf numFmtId="0" fontId="17" fillId="3" borderId="0" xfId="3" applyFont="1" applyFill="1" applyBorder="1" applyAlignment="1" applyProtection="1">
      <alignment horizontal="right"/>
      <protection locked="0"/>
    </xf>
    <xf numFmtId="0" fontId="2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Alignment="1" applyProtection="1">
      <alignment vertical="center"/>
      <protection locked="0"/>
    </xf>
    <xf numFmtId="0" fontId="30" fillId="3" borderId="0" xfId="3" applyFont="1" applyFill="1" applyProtection="1">
      <protection locked="0"/>
    </xf>
    <xf numFmtId="0" fontId="30" fillId="3" borderId="0" xfId="3" applyFont="1" applyFill="1" applyBorder="1" applyAlignment="1" applyProtection="1">
      <alignment horizontal="centerContinuous"/>
      <protection locked="0"/>
    </xf>
    <xf numFmtId="0" fontId="26" fillId="3" borderId="0" xfId="3" applyFont="1" applyFill="1" applyAlignment="1" applyProtection="1">
      <alignment vertical="center"/>
    </xf>
    <xf numFmtId="0" fontId="26" fillId="3" borderId="0" xfId="3" applyFont="1" applyFill="1" applyAlignment="1" applyProtection="1">
      <alignment vertical="center"/>
      <protection locked="0"/>
    </xf>
    <xf numFmtId="0" fontId="31" fillId="3" borderId="0" xfId="3" applyFont="1" applyFill="1" applyAlignment="1" applyProtection="1">
      <alignment horizontal="centerContinuous" vertical="center"/>
      <protection locked="0"/>
    </xf>
    <xf numFmtId="0" fontId="32" fillId="3" borderId="0" xfId="3" applyFont="1" applyFill="1" applyAlignment="1" applyProtection="1">
      <alignment horizontal="centerContinuous" vertical="center"/>
      <protection locked="0"/>
    </xf>
    <xf numFmtId="0" fontId="20" fillId="3" borderId="0" xfId="3" applyFont="1" applyFill="1" applyAlignment="1" applyProtection="1">
      <alignment horizontal="left" vertical="center"/>
      <protection locked="0"/>
    </xf>
    <xf numFmtId="0" fontId="23" fillId="3" borderId="0" xfId="3" applyFont="1" applyFill="1" applyAlignment="1" applyProtection="1">
      <alignment horizontal="center" vertical="center"/>
      <protection locked="0"/>
    </xf>
    <xf numFmtId="0" fontId="20" fillId="3" borderId="0" xfId="3" applyFont="1" applyFill="1" applyAlignment="1" applyProtection="1">
      <alignment horizontal="center" vertical="center"/>
      <protection locked="0"/>
    </xf>
    <xf numFmtId="49" fontId="20" fillId="3" borderId="0" xfId="3" applyNumberFormat="1" applyFont="1" applyFill="1" applyAlignment="1" applyProtection="1">
      <alignment horizontal="left" vertical="center"/>
      <protection locked="0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left" vertical="center"/>
    </xf>
    <xf numFmtId="0" fontId="20" fillId="3" borderId="0" xfId="3" applyFont="1" applyFill="1" applyAlignment="1" applyProtection="1">
      <alignment horizontal="right" vertical="center"/>
      <protection locked="0"/>
    </xf>
    <xf numFmtId="2" fontId="20" fillId="3" borderId="0" xfId="3" applyNumberFormat="1" applyFont="1" applyFill="1" applyAlignment="1" applyProtection="1">
      <alignment horizontal="left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0" fontId="17" fillId="3" borderId="0" xfId="3" applyFont="1" applyFill="1" applyAlignment="1" applyProtection="1">
      <alignment horizontal="center" vertical="center"/>
    </xf>
    <xf numFmtId="0" fontId="20" fillId="3" borderId="16" xfId="3" applyFont="1" applyFill="1" applyBorder="1" applyAlignment="1" applyProtection="1">
      <alignment horizontal="centerContinuous" vertical="center"/>
      <protection locked="0"/>
    </xf>
    <xf numFmtId="0" fontId="20" fillId="3" borderId="17" xfId="3" applyFont="1" applyFill="1" applyBorder="1" applyAlignment="1" applyProtection="1">
      <alignment horizontal="centerContinuous" vertical="center"/>
      <protection locked="0"/>
    </xf>
    <xf numFmtId="0" fontId="20" fillId="3" borderId="18" xfId="3" applyFont="1" applyFill="1" applyBorder="1" applyAlignment="1" applyProtection="1">
      <alignment horizontal="centerContinuous" vertical="center"/>
      <protection locked="0"/>
    </xf>
    <xf numFmtId="0" fontId="4" fillId="3" borderId="16" xfId="3" applyFont="1" applyFill="1" applyBorder="1" applyAlignment="1" applyProtection="1">
      <alignment horizontal="centerContinuous" vertical="center"/>
      <protection locked="0"/>
    </xf>
    <xf numFmtId="0" fontId="4" fillId="3" borderId="17" xfId="3" applyFont="1" applyFill="1" applyBorder="1" applyAlignment="1" applyProtection="1">
      <alignment horizontal="centerContinuous" vertical="center"/>
      <protection locked="0"/>
    </xf>
    <xf numFmtId="0" fontId="4" fillId="3" borderId="18" xfId="3" applyFont="1" applyFill="1" applyBorder="1" applyAlignment="1" applyProtection="1">
      <alignment horizontal="centerContinuous" vertical="center"/>
      <protection locked="0"/>
    </xf>
    <xf numFmtId="0" fontId="3" fillId="3" borderId="27" xfId="3" applyFont="1" applyFill="1" applyBorder="1" applyAlignment="1" applyProtection="1">
      <alignment horizontal="center" vertical="center" wrapText="1"/>
      <protection locked="0"/>
    </xf>
    <xf numFmtId="0" fontId="3" fillId="3" borderId="28" xfId="3" applyFont="1" applyFill="1" applyBorder="1" applyAlignment="1" applyProtection="1">
      <alignment horizontal="center" vertical="center" wrapText="1"/>
      <protection locked="0"/>
    </xf>
    <xf numFmtId="0" fontId="3" fillId="3" borderId="29" xfId="3" applyFont="1" applyFill="1" applyBorder="1" applyAlignment="1" applyProtection="1">
      <alignment horizontal="center" vertical="center" wrapText="1"/>
      <protection locked="0"/>
    </xf>
    <xf numFmtId="3" fontId="20" fillId="3" borderId="19" xfId="3" applyNumberFormat="1" applyFont="1" applyFill="1" applyBorder="1" applyAlignment="1" applyProtection="1">
      <alignment horizontal="center" vertical="center"/>
      <protection locked="0"/>
    </xf>
    <xf numFmtId="3" fontId="20" fillId="3" borderId="19" xfId="3" applyNumberFormat="1" applyFont="1" applyFill="1" applyBorder="1" applyAlignment="1" applyProtection="1">
      <alignment horizontal="center" vertical="center"/>
    </xf>
    <xf numFmtId="2" fontId="20" fillId="3" borderId="32" xfId="3" applyNumberFormat="1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  <protection locked="0"/>
    </xf>
    <xf numFmtId="9" fontId="20" fillId="3" borderId="19" xfId="4" applyFont="1" applyFill="1" applyBorder="1" applyAlignment="1" applyProtection="1">
      <alignment horizontal="center" vertical="center"/>
    </xf>
    <xf numFmtId="9" fontId="20" fillId="3" borderId="19" xfId="4" applyFont="1" applyFill="1" applyBorder="1" applyAlignment="1" applyProtection="1">
      <alignment horizontal="center" vertical="center"/>
      <protection locked="0"/>
    </xf>
    <xf numFmtId="2" fontId="20" fillId="3" borderId="19" xfId="3" applyNumberFormat="1" applyFont="1" applyFill="1" applyBorder="1" applyAlignment="1" applyProtection="1">
      <alignment horizontal="center" vertical="center"/>
    </xf>
    <xf numFmtId="3" fontId="20" fillId="3" borderId="20" xfId="3" applyNumberFormat="1" applyFont="1" applyFill="1" applyBorder="1" applyAlignment="1" applyProtection="1">
      <alignment horizontal="center" vertical="center"/>
    </xf>
    <xf numFmtId="2" fontId="20" fillId="3" borderId="20" xfId="3" applyNumberFormat="1" applyFont="1" applyFill="1" applyBorder="1" applyAlignment="1" applyProtection="1">
      <alignment horizontal="center" vertical="center"/>
    </xf>
    <xf numFmtId="1" fontId="20" fillId="3" borderId="19" xfId="3" applyNumberFormat="1" applyFont="1" applyFill="1" applyBorder="1" applyAlignment="1" applyProtection="1">
      <alignment horizontal="center" vertical="center"/>
    </xf>
    <xf numFmtId="165" fontId="20" fillId="3" borderId="19" xfId="3" applyNumberFormat="1" applyFont="1" applyFill="1" applyBorder="1" applyAlignment="1" applyProtection="1">
      <alignment horizontal="center" vertical="center"/>
    </xf>
    <xf numFmtId="4" fontId="20" fillId="3" borderId="19" xfId="3" applyNumberFormat="1" applyFont="1" applyFill="1" applyBorder="1" applyAlignment="1" applyProtection="1">
      <alignment horizontal="center" vertical="center"/>
    </xf>
    <xf numFmtId="4" fontId="20" fillId="3" borderId="33" xfId="3" applyNumberFormat="1" applyFont="1" applyFill="1" applyBorder="1" applyAlignment="1" applyProtection="1">
      <alignment horizontal="center" vertical="center"/>
    </xf>
    <xf numFmtId="0" fontId="20" fillId="3" borderId="34" xfId="3" applyFont="1" applyFill="1" applyBorder="1" applyAlignment="1" applyProtection="1">
      <alignment horizontal="center" vertical="center"/>
    </xf>
    <xf numFmtId="2" fontId="26" fillId="3" borderId="0" xfId="3" applyNumberFormat="1" applyFont="1" applyFill="1" applyBorder="1" applyAlignment="1" applyProtection="1">
      <alignment horizontal="center" vertical="center"/>
    </xf>
    <xf numFmtId="0" fontId="26" fillId="3" borderId="0" xfId="3" applyFont="1" applyFill="1" applyAlignment="1" applyProtection="1">
      <alignment horizontal="center" vertical="center"/>
    </xf>
    <xf numFmtId="165" fontId="20" fillId="3" borderId="0" xfId="3" applyNumberFormat="1" applyFont="1" applyFill="1" applyAlignment="1" applyProtection="1">
      <alignment horizontal="center" vertical="center"/>
    </xf>
    <xf numFmtId="0" fontId="20" fillId="3" borderId="0" xfId="3" applyFont="1" applyFill="1" applyAlignment="1" applyProtection="1">
      <alignment horizontal="center" vertical="center"/>
    </xf>
    <xf numFmtId="2" fontId="26" fillId="3" borderId="0" xfId="3" applyNumberFormat="1" applyFont="1" applyFill="1" applyAlignment="1" applyProtection="1">
      <alignment vertical="center"/>
    </xf>
    <xf numFmtId="165" fontId="26" fillId="3" borderId="0" xfId="3" applyNumberFormat="1" applyFont="1" applyFill="1" applyAlignment="1" applyProtection="1">
      <alignment vertical="center"/>
    </xf>
    <xf numFmtId="0" fontId="26" fillId="3" borderId="0" xfId="3" applyFont="1" applyFill="1" applyAlignment="1" applyProtection="1">
      <alignment horizontal="center" vertical="center"/>
      <protection locked="0"/>
    </xf>
    <xf numFmtId="0" fontId="20" fillId="3" borderId="35" xfId="3" applyFont="1" applyFill="1" applyBorder="1" applyAlignment="1" applyProtection="1">
      <alignment horizontal="center" vertical="center"/>
      <protection locked="0"/>
    </xf>
    <xf numFmtId="0" fontId="20" fillId="3" borderId="20" xfId="3" applyFont="1" applyFill="1" applyBorder="1" applyAlignment="1" applyProtection="1">
      <alignment horizontal="center" vertical="center"/>
      <protection locked="0"/>
    </xf>
    <xf numFmtId="3" fontId="20" fillId="3" borderId="20" xfId="3" applyNumberFormat="1" applyFont="1" applyFill="1" applyBorder="1" applyAlignment="1" applyProtection="1">
      <alignment horizontal="center" vertical="center"/>
      <protection locked="0"/>
    </xf>
    <xf numFmtId="2" fontId="20" fillId="3" borderId="20" xfId="3" applyNumberFormat="1" applyFont="1" applyFill="1" applyBorder="1" applyAlignment="1" applyProtection="1">
      <alignment horizontal="center" vertical="center"/>
      <protection locked="0"/>
    </xf>
    <xf numFmtId="9" fontId="20" fillId="3" borderId="20" xfId="4" applyFont="1" applyFill="1" applyBorder="1" applyAlignment="1" applyProtection="1">
      <alignment horizontal="center" vertical="center"/>
    </xf>
    <xf numFmtId="9" fontId="20" fillId="3" borderId="20" xfId="4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  <protection locked="0"/>
    </xf>
    <xf numFmtId="1" fontId="20" fillId="3" borderId="20" xfId="3" applyNumberFormat="1" applyFont="1" applyFill="1" applyBorder="1" applyAlignment="1" applyProtection="1">
      <alignment horizontal="center" vertical="center"/>
    </xf>
    <xf numFmtId="165" fontId="20" fillId="3" borderId="20" xfId="3" applyNumberFormat="1" applyFont="1" applyFill="1" applyBorder="1" applyAlignment="1" applyProtection="1">
      <alignment horizontal="center" vertical="center"/>
    </xf>
    <xf numFmtId="4" fontId="20" fillId="3" borderId="20" xfId="3" applyNumberFormat="1" applyFont="1" applyFill="1" applyBorder="1" applyAlignment="1" applyProtection="1">
      <alignment horizontal="center" vertical="center"/>
    </xf>
    <xf numFmtId="4" fontId="20" fillId="3" borderId="36" xfId="3" applyNumberFormat="1" applyFont="1" applyFill="1" applyBorder="1" applyAlignment="1" applyProtection="1">
      <alignment horizontal="center" vertical="center"/>
    </xf>
    <xf numFmtId="0" fontId="20" fillId="3" borderId="37" xfId="3" applyFont="1" applyFill="1" applyBorder="1" applyAlignment="1" applyProtection="1">
      <alignment horizontal="center" vertical="center"/>
    </xf>
    <xf numFmtId="0" fontId="20" fillId="3" borderId="38" xfId="3" applyFont="1" applyFill="1" applyBorder="1" applyAlignment="1" applyProtection="1">
      <alignment horizontal="center" vertical="center"/>
      <protection locked="0"/>
    </xf>
    <xf numFmtId="0" fontId="20" fillId="3" borderId="39" xfId="3" applyFont="1" applyFill="1" applyBorder="1" applyAlignment="1" applyProtection="1">
      <alignment horizontal="center" vertical="center"/>
      <protection locked="0"/>
    </xf>
    <xf numFmtId="3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</xf>
    <xf numFmtId="3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  <protection locked="0"/>
    </xf>
    <xf numFmtId="3" fontId="20" fillId="3" borderId="40" xfId="3" applyNumberFormat="1" applyFont="1" applyFill="1" applyBorder="1" applyAlignment="1" applyProtection="1">
      <alignment horizontal="center" vertical="center"/>
      <protection locked="0"/>
    </xf>
    <xf numFmtId="9" fontId="20" fillId="3" borderId="39" xfId="4" applyFont="1" applyFill="1" applyBorder="1" applyAlignment="1" applyProtection="1">
      <alignment horizontal="center" vertical="center"/>
    </xf>
    <xf numFmtId="9" fontId="20" fillId="3" borderId="39" xfId="4" applyFont="1" applyFill="1" applyBorder="1" applyAlignment="1" applyProtection="1">
      <alignment horizontal="center" vertical="center"/>
      <protection locked="0"/>
    </xf>
    <xf numFmtId="1" fontId="20" fillId="3" borderId="39" xfId="3" applyNumberFormat="1" applyFont="1" applyFill="1" applyBorder="1" applyAlignment="1" applyProtection="1">
      <alignment horizontal="center" vertical="center"/>
      <protection locked="0"/>
    </xf>
    <xf numFmtId="2" fontId="20" fillId="3" borderId="39" xfId="3" applyNumberFormat="1" applyFont="1" applyFill="1" applyBorder="1" applyAlignment="1" applyProtection="1">
      <alignment horizontal="center" vertical="center"/>
    </xf>
    <xf numFmtId="2" fontId="20" fillId="3" borderId="40" xfId="3" applyNumberFormat="1" applyFont="1" applyFill="1" applyBorder="1" applyAlignment="1" applyProtection="1">
      <alignment horizontal="center" vertical="center"/>
    </xf>
    <xf numFmtId="1" fontId="20" fillId="3" borderId="39" xfId="3" applyNumberFormat="1" applyFont="1" applyFill="1" applyBorder="1" applyAlignment="1" applyProtection="1">
      <alignment horizontal="center" vertical="center"/>
    </xf>
    <xf numFmtId="165" fontId="20" fillId="3" borderId="39" xfId="3" applyNumberFormat="1" applyFont="1" applyFill="1" applyBorder="1" applyAlignment="1" applyProtection="1">
      <alignment horizontal="center" vertical="center"/>
    </xf>
    <xf numFmtId="4" fontId="20" fillId="3" borderId="39" xfId="3" applyNumberFormat="1" applyFont="1" applyFill="1" applyBorder="1" applyAlignment="1" applyProtection="1">
      <alignment horizontal="center" vertical="center"/>
    </xf>
    <xf numFmtId="4" fontId="20" fillId="3" borderId="41" xfId="3" applyNumberFormat="1" applyFont="1" applyFill="1" applyBorder="1" applyAlignment="1" applyProtection="1">
      <alignment horizontal="center" vertical="center"/>
    </xf>
    <xf numFmtId="0" fontId="20" fillId="3" borderId="42" xfId="3" applyFont="1" applyFill="1" applyBorder="1" applyAlignment="1" applyProtection="1">
      <alignment horizontal="center" vertical="center"/>
    </xf>
    <xf numFmtId="1" fontId="26" fillId="3" borderId="0" xfId="3" applyNumberFormat="1" applyFont="1" applyFill="1" applyAlignment="1" applyProtection="1">
      <alignment vertical="center"/>
    </xf>
    <xf numFmtId="0" fontId="30" fillId="3" borderId="0" xfId="3" applyFont="1" applyFill="1" applyAlignment="1" applyProtection="1">
      <alignment horizontal="center" vertical="center"/>
      <protection locked="0"/>
    </xf>
    <xf numFmtId="0" fontId="17" fillId="3" borderId="0" xfId="3" applyFont="1" applyFill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vertical="center"/>
    </xf>
    <xf numFmtId="3" fontId="20" fillId="3" borderId="43" xfId="3" applyNumberFormat="1" applyFont="1" applyFill="1" applyBorder="1" applyAlignment="1" applyProtection="1">
      <alignment horizontal="center" vertical="center"/>
    </xf>
    <xf numFmtId="2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0" xfId="3" applyNumberFormat="1" applyFont="1" applyFill="1" applyBorder="1" applyAlignment="1" applyProtection="1">
      <alignment horizontal="center" vertical="center"/>
      <protection locked="0"/>
    </xf>
    <xf numFmtId="1" fontId="20" fillId="3" borderId="43" xfId="3" applyNumberFormat="1" applyFont="1" applyFill="1" applyBorder="1" applyAlignment="1" applyProtection="1">
      <alignment horizontal="center" vertical="center"/>
      <protection locked="0"/>
    </xf>
    <xf numFmtId="0" fontId="20" fillId="3" borderId="36" xfId="3" applyFont="1" applyFill="1" applyBorder="1" applyAlignment="1" applyProtection="1">
      <alignment horizontal="center" vertical="center"/>
      <protection locked="0"/>
    </xf>
    <xf numFmtId="2" fontId="20" fillId="3" borderId="36" xfId="3" applyNumberFormat="1" applyFont="1" applyFill="1" applyBorder="1" applyAlignment="1" applyProtection="1">
      <alignment horizontal="center" vertical="center"/>
      <protection locked="0"/>
    </xf>
    <xf numFmtId="1" fontId="20" fillId="3" borderId="44" xfId="3" applyNumberFormat="1" applyFont="1" applyFill="1" applyBorder="1" applyAlignment="1" applyProtection="1">
      <alignment horizontal="center" vertical="center"/>
      <protection locked="0"/>
    </xf>
    <xf numFmtId="0" fontId="20" fillId="3" borderId="45" xfId="3" applyFont="1" applyFill="1" applyBorder="1" applyAlignment="1" applyProtection="1">
      <alignment horizontal="center" vertical="center"/>
      <protection locked="0"/>
    </xf>
    <xf numFmtId="0" fontId="20" fillId="3" borderId="46" xfId="3" applyFont="1" applyFill="1" applyBorder="1" applyAlignment="1" applyProtection="1">
      <alignment horizontal="center" vertical="center"/>
      <protection locked="0"/>
    </xf>
    <xf numFmtId="0" fontId="20" fillId="3" borderId="41" xfId="3" applyFont="1" applyFill="1" applyBorder="1" applyAlignment="1" applyProtection="1">
      <alignment horizontal="center" vertical="center"/>
      <protection locked="0"/>
    </xf>
    <xf numFmtId="2" fontId="20" fillId="3" borderId="41" xfId="3" applyNumberFormat="1" applyFont="1" applyFill="1" applyBorder="1" applyAlignment="1" applyProtection="1">
      <alignment horizontal="center" vertical="center"/>
      <protection locked="0"/>
    </xf>
    <xf numFmtId="2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6" fillId="3" borderId="0" xfId="3" applyFont="1" applyFill="1" applyBorder="1" applyAlignment="1" applyProtection="1">
      <alignment horizontal="center" vertical="center"/>
      <protection locked="0"/>
    </xf>
    <xf numFmtId="2" fontId="20" fillId="3" borderId="0" xfId="3" applyNumberFormat="1" applyFont="1" applyFill="1" applyAlignment="1" applyProtection="1">
      <alignment vertical="center"/>
      <protection locked="0"/>
    </xf>
    <xf numFmtId="0" fontId="36" fillId="3" borderId="0" xfId="3" applyFont="1" applyFill="1" applyAlignment="1" applyProtection="1">
      <alignment horizontal="left" vertical="center"/>
      <protection locked="0"/>
    </xf>
    <xf numFmtId="0" fontId="29" fillId="3" borderId="31" xfId="1" applyFont="1" applyFill="1" applyBorder="1" applyAlignment="1" applyProtection="1">
      <alignment horizontal="center" vertical="center"/>
      <protection locked="0"/>
    </xf>
    <xf numFmtId="0" fontId="29" fillId="3" borderId="35" xfId="1" applyFont="1" applyFill="1" applyBorder="1" applyAlignment="1" applyProtection="1">
      <alignment horizontal="center" vertical="center"/>
      <protection locked="0"/>
    </xf>
    <xf numFmtId="0" fontId="29" fillId="3" borderId="31" xfId="3" applyFont="1" applyFill="1" applyBorder="1" applyAlignment="1" applyProtection="1">
      <alignment horizontal="center" vertical="center"/>
      <protection locked="0"/>
    </xf>
    <xf numFmtId="0" fontId="29" fillId="3" borderId="19" xfId="3" applyFont="1" applyFill="1" applyBorder="1" applyAlignment="1" applyProtection="1">
      <alignment horizontal="center" vertical="center"/>
      <protection locked="0"/>
    </xf>
    <xf numFmtId="0" fontId="29" fillId="3" borderId="35" xfId="3" applyFont="1" applyFill="1" applyBorder="1" applyAlignment="1" applyProtection="1">
      <alignment horizontal="center" vertical="center"/>
      <protection locked="0"/>
    </xf>
    <xf numFmtId="0" fontId="29" fillId="3" borderId="20" xfId="3" applyFont="1" applyFill="1" applyBorder="1" applyAlignment="1" applyProtection="1">
      <alignment horizontal="center" vertical="center"/>
      <protection locked="0"/>
    </xf>
    <xf numFmtId="0" fontId="34" fillId="3" borderId="32" xfId="3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  <protection locked="0"/>
    </xf>
    <xf numFmtId="0" fontId="34" fillId="3" borderId="36" xfId="3" applyFont="1" applyFill="1" applyBorder="1" applyAlignment="1" applyProtection="1">
      <alignment horizontal="center" vertical="center"/>
      <protection locked="0"/>
    </xf>
    <xf numFmtId="3" fontId="34" fillId="3" borderId="20" xfId="3" applyNumberFormat="1" applyFont="1" applyFill="1" applyBorder="1" applyAlignment="1" applyProtection="1">
      <alignment horizontal="center" vertical="center"/>
      <protection locked="0"/>
    </xf>
    <xf numFmtId="3" fontId="34" fillId="3" borderId="19" xfId="3" applyNumberFormat="1" applyFont="1" applyFill="1" applyBorder="1" applyAlignment="1" applyProtection="1">
      <alignment horizontal="center" vertical="center"/>
    </xf>
    <xf numFmtId="3" fontId="34" fillId="3" borderId="20" xfId="3" applyNumberFormat="1" applyFont="1" applyFill="1" applyBorder="1" applyAlignment="1" applyProtection="1">
      <alignment horizontal="center" vertical="center"/>
    </xf>
    <xf numFmtId="0" fontId="32" fillId="3" borderId="0" xfId="3" applyFont="1" applyFill="1" applyAlignment="1" applyProtection="1">
      <alignment horizontal="left" vertical="center" indent="1"/>
      <protection locked="0"/>
    </xf>
    <xf numFmtId="0" fontId="31" fillId="3" borderId="0" xfId="3" applyNumberFormat="1" applyFont="1" applyFill="1" applyAlignment="1" applyProtection="1">
      <alignment horizontal="centerContinuous" vertical="center"/>
      <protection locked="0"/>
    </xf>
    <xf numFmtId="0" fontId="36" fillId="3" borderId="0" xfId="3" applyFont="1" applyFill="1" applyAlignment="1" applyProtection="1">
      <alignment horizontal="left" vertical="center" indent="1"/>
      <protection locked="0"/>
    </xf>
    <xf numFmtId="1" fontId="34" fillId="0" borderId="32" xfId="0" applyNumberFormat="1" applyFont="1" applyBorder="1" applyAlignment="1">
      <alignment horizontal="center" vertical="center"/>
    </xf>
    <xf numFmtId="1" fontId="34" fillId="0" borderId="20" xfId="0" applyNumberFormat="1" applyFont="1" applyBorder="1" applyAlignment="1">
      <alignment horizontal="center" vertical="center"/>
    </xf>
    <xf numFmtId="0" fontId="24" fillId="0" borderId="0" xfId="0" applyFont="1" applyAlignment="1" applyProtection="1">
      <alignment horizontal="center"/>
    </xf>
    <xf numFmtId="0" fontId="8" fillId="0" borderId="16" xfId="0" applyFont="1" applyBorder="1" applyAlignment="1" applyProtection="1">
      <alignment horizontal="right" vertical="center"/>
    </xf>
    <xf numFmtId="0" fontId="8" fillId="0" borderId="17" xfId="0" applyFont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horizontal="right" vertical="center"/>
    </xf>
    <xf numFmtId="0" fontId="8" fillId="0" borderId="12" xfId="0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49" fontId="14" fillId="0" borderId="0" xfId="0" applyNumberFormat="1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right" vertical="center"/>
    </xf>
    <xf numFmtId="0" fontId="8" fillId="0" borderId="17" xfId="0" applyFont="1" applyFill="1" applyBorder="1" applyAlignment="1" applyProtection="1">
      <alignment horizontal="right" vertical="center"/>
    </xf>
    <xf numFmtId="0" fontId="8" fillId="0" borderId="18" xfId="0" applyFont="1" applyFill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center" vertical="center"/>
    </xf>
    <xf numFmtId="0" fontId="13" fillId="0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right" vertical="center"/>
    </xf>
    <xf numFmtId="0" fontId="8" fillId="0" borderId="10" xfId="0" applyFont="1" applyFill="1" applyBorder="1" applyAlignment="1" applyProtection="1">
      <alignment horizontal="right" vertical="center"/>
    </xf>
    <xf numFmtId="0" fontId="8" fillId="0" borderId="12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14" fontId="3" fillId="0" borderId="10" xfId="0" applyNumberFormat="1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14" fontId="3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" fontId="9" fillId="0" borderId="6" xfId="0" applyNumberFormat="1" applyFont="1" applyFill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</xf>
    <xf numFmtId="0" fontId="22" fillId="0" borderId="19" xfId="0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23" fillId="0" borderId="9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14" fontId="4" fillId="0" borderId="9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" fillId="3" borderId="25" xfId="3" applyFont="1" applyFill="1" applyBorder="1" applyAlignment="1" applyProtection="1">
      <alignment horizontal="center" vertical="center" wrapText="1"/>
      <protection locked="0"/>
    </xf>
    <xf numFmtId="0" fontId="20" fillId="3" borderId="30" xfId="3" applyFont="1" applyFill="1" applyBorder="1" applyAlignment="1" applyProtection="1">
      <alignment horizontal="center" vertical="center" wrapText="1"/>
      <protection locked="0"/>
    </xf>
    <xf numFmtId="0" fontId="3" fillId="3" borderId="24" xfId="3" applyFont="1" applyFill="1" applyBorder="1" applyAlignment="1" applyProtection="1">
      <alignment horizontal="center" vertical="center" wrapText="1"/>
      <protection locked="0"/>
    </xf>
    <xf numFmtId="0" fontId="20" fillId="3" borderId="28" xfId="3" applyFont="1" applyFill="1" applyBorder="1" applyAlignment="1" applyProtection="1">
      <alignment horizontal="center" vertical="center" wrapText="1"/>
      <protection locked="0"/>
    </xf>
    <xf numFmtId="0" fontId="29" fillId="3" borderId="9" xfId="3" applyFont="1" applyFill="1" applyBorder="1" applyAlignment="1" applyProtection="1">
      <alignment horizontal="center" vertical="center"/>
      <protection locked="0"/>
    </xf>
    <xf numFmtId="49" fontId="29" fillId="3" borderId="9" xfId="3" applyNumberFormat="1" applyFont="1" applyFill="1" applyBorder="1" applyAlignment="1" applyProtection="1">
      <alignment horizontal="center" vertical="center"/>
      <protection locked="0"/>
    </xf>
    <xf numFmtId="0" fontId="20" fillId="3" borderId="9" xfId="3" applyFont="1" applyFill="1" applyBorder="1" applyAlignment="1" applyProtection="1">
      <alignment horizontal="center" vertical="center"/>
    </xf>
    <xf numFmtId="2" fontId="20" fillId="3" borderId="9" xfId="3" applyNumberFormat="1" applyFont="1" applyFill="1" applyBorder="1" applyAlignment="1" applyProtection="1">
      <alignment horizontal="center" vertical="center"/>
    </xf>
    <xf numFmtId="0" fontId="3" fillId="3" borderId="23" xfId="3" applyFont="1" applyFill="1" applyBorder="1" applyAlignment="1" applyProtection="1">
      <alignment horizontal="center" vertical="center" wrapText="1"/>
      <protection locked="0"/>
    </xf>
    <xf numFmtId="0" fontId="20" fillId="3" borderId="26" xfId="3" applyFont="1" applyFill="1" applyBorder="1" applyAlignment="1" applyProtection="1">
      <alignment horizontal="center" vertical="center" wrapText="1"/>
      <protection locked="0"/>
    </xf>
    <xf numFmtId="0" fontId="3" fillId="3" borderId="14" xfId="3" applyFont="1" applyFill="1" applyBorder="1" applyAlignment="1" applyProtection="1">
      <alignment horizontal="center" vertical="center" wrapText="1"/>
      <protection locked="0"/>
    </xf>
    <xf numFmtId="0" fontId="20" fillId="3" borderId="27" xfId="3" applyFont="1" applyFill="1" applyBorder="1" applyAlignment="1" applyProtection="1">
      <alignment horizontal="center" vertical="center" wrapText="1"/>
      <protection locked="0"/>
    </xf>
    <xf numFmtId="0" fontId="4" fillId="3" borderId="16" xfId="3" applyFont="1" applyFill="1" applyBorder="1" applyAlignment="1" applyProtection="1">
      <alignment horizontal="center" vertical="center"/>
      <protection locked="0"/>
    </xf>
    <xf numFmtId="0" fontId="4" fillId="3" borderId="17" xfId="3" applyFont="1" applyFill="1" applyBorder="1" applyAlignment="1" applyProtection="1">
      <alignment horizontal="center" vertical="center"/>
      <protection locked="0"/>
    </xf>
    <xf numFmtId="0" fontId="4" fillId="3" borderId="18" xfId="3" applyFont="1" applyFill="1" applyBorder="1" applyAlignment="1" applyProtection="1">
      <alignment horizontal="center" vertical="center"/>
      <protection locked="0"/>
    </xf>
    <xf numFmtId="0" fontId="4" fillId="3" borderId="24" xfId="3" applyFont="1" applyFill="1" applyBorder="1" applyAlignment="1" applyProtection="1">
      <alignment horizontal="center" vertical="center" wrapText="1"/>
      <protection locked="0"/>
    </xf>
    <xf numFmtId="0" fontId="4" fillId="3" borderId="28" xfId="3" applyFont="1" applyFill="1" applyBorder="1" applyAlignment="1" applyProtection="1">
      <alignment horizontal="center" vertical="center" wrapText="1"/>
      <protection locked="0"/>
    </xf>
    <xf numFmtId="0" fontId="35" fillId="3" borderId="9" xfId="3" applyFont="1" applyFill="1" applyBorder="1" applyAlignment="1" applyProtection="1">
      <alignment horizontal="center"/>
      <protection locked="0"/>
    </xf>
    <xf numFmtId="14" fontId="34" fillId="3" borderId="15" xfId="3" applyNumberFormat="1" applyFont="1" applyFill="1" applyBorder="1" applyAlignment="1" applyProtection="1">
      <alignment horizontal="center"/>
      <protection locked="0"/>
    </xf>
    <xf numFmtId="14" fontId="34" fillId="3" borderId="8" xfId="3" applyNumberFormat="1" applyFont="1" applyFill="1" applyBorder="1" applyAlignment="1" applyProtection="1">
      <alignment horizontal="center"/>
      <protection locked="0"/>
    </xf>
    <xf numFmtId="0" fontId="20" fillId="3" borderId="9" xfId="3" applyFont="1" applyFill="1" applyBorder="1" applyAlignment="1" applyProtection="1">
      <alignment horizontal="center"/>
      <protection locked="0"/>
    </xf>
    <xf numFmtId="0" fontId="20" fillId="3" borderId="0" xfId="3" applyFont="1" applyFill="1" applyBorder="1" applyAlignment="1" applyProtection="1">
      <alignment horizontal="center"/>
      <protection locked="0"/>
    </xf>
  </cellXfs>
  <cellStyles count="5">
    <cellStyle name="Normal" xfId="0" builtinId="0"/>
    <cellStyle name="Normal 2" xfId="1"/>
    <cellStyle name="Normal 3" xfId="3"/>
    <cellStyle name="Porcentual 2" xfId="2"/>
    <cellStyle name="Porcentu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6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</c:v>
                </c:pt>
                <c:pt idx="1">
                  <c:v>18</c:v>
                </c:pt>
                <c:pt idx="2">
                  <c:v>13.5</c:v>
                </c:pt>
                <c:pt idx="3">
                  <c:v>6</c:v>
                </c:pt>
                <c:pt idx="4">
                  <c:v>17.5</c:v>
                </c:pt>
                <c:pt idx="5">
                  <c:v>12</c:v>
                </c:pt>
                <c:pt idx="6">
                  <c:v>7</c:v>
                </c:pt>
                <c:pt idx="7">
                  <c:v>16.5</c:v>
                </c:pt>
                <c:pt idx="8">
                  <c:v>14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62680"/>
        <c:axId val="147463072"/>
      </c:barChart>
      <c:catAx>
        <c:axId val="14746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45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6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6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14.5</c:v>
                </c:pt>
                <c:pt idx="1">
                  <c:v>10</c:v>
                </c:pt>
                <c:pt idx="2">
                  <c:v>11.5</c:v>
                </c:pt>
                <c:pt idx="3">
                  <c:v>5.5</c:v>
                </c:pt>
                <c:pt idx="4">
                  <c:v>17.5</c:v>
                </c:pt>
                <c:pt idx="5">
                  <c:v>5</c:v>
                </c:pt>
                <c:pt idx="6">
                  <c:v>12</c:v>
                </c:pt>
                <c:pt idx="7">
                  <c:v>10.5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661160"/>
        <c:axId val="147661552"/>
      </c:barChart>
      <c:catAx>
        <c:axId val="14766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66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66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66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7.5</c:v>
                </c:pt>
                <c:pt idx="1">
                  <c:v>7.5</c:v>
                </c:pt>
                <c:pt idx="2">
                  <c:v>11</c:v>
                </c:pt>
                <c:pt idx="3">
                  <c:v>8.5</c:v>
                </c:pt>
                <c:pt idx="4">
                  <c:v>1</c:v>
                </c:pt>
                <c:pt idx="5">
                  <c:v>6.5</c:v>
                </c:pt>
                <c:pt idx="6">
                  <c:v>11</c:v>
                </c:pt>
                <c:pt idx="7">
                  <c:v>14.5</c:v>
                </c:pt>
                <c:pt idx="8">
                  <c:v>11.5</c:v>
                </c:pt>
                <c:pt idx="9">
                  <c:v>8.5</c:v>
                </c:pt>
                <c:pt idx="10">
                  <c:v>12</c:v>
                </c:pt>
                <c:pt idx="11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662336"/>
        <c:axId val="147662728"/>
      </c:barChart>
      <c:catAx>
        <c:axId val="14766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66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66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66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37"/>
          <c:w val="0.92653184328741933"/>
          <c:h val="0.500003130027601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</c:v>
                </c:pt>
                <c:pt idx="1">
                  <c:v>9</c:v>
                </c:pt>
                <c:pt idx="2">
                  <c:v>5.5</c:v>
                </c:pt>
                <c:pt idx="3">
                  <c:v>2.5</c:v>
                </c:pt>
                <c:pt idx="4">
                  <c:v>4</c:v>
                </c:pt>
                <c:pt idx="5">
                  <c:v>15.5</c:v>
                </c:pt>
                <c:pt idx="6">
                  <c:v>12.5</c:v>
                </c:pt>
                <c:pt idx="7">
                  <c:v>12</c:v>
                </c:pt>
                <c:pt idx="8">
                  <c:v>11</c:v>
                </c:pt>
                <c:pt idx="9">
                  <c:v>9</c:v>
                </c:pt>
                <c:pt idx="10">
                  <c:v>9.5</c:v>
                </c:pt>
                <c:pt idx="11">
                  <c:v>11.5</c:v>
                </c:pt>
                <c:pt idx="12">
                  <c:v>13.5</c:v>
                </c:pt>
                <c:pt idx="13">
                  <c:v>8.5</c:v>
                </c:pt>
                <c:pt idx="14">
                  <c:v>7.5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309168"/>
        <c:axId val="148308776"/>
      </c:barChart>
      <c:catAx>
        <c:axId val="14830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0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1081E-2"/>
          <c:y val="0.22875963005278591"/>
          <c:w val="0.90847115734818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</c:v>
                </c:pt>
                <c:pt idx="1">
                  <c:v>54</c:v>
                </c:pt>
                <c:pt idx="2">
                  <c:v>57</c:v>
                </c:pt>
                <c:pt idx="3">
                  <c:v>42.5</c:v>
                </c:pt>
                <c:pt idx="4">
                  <c:v>54</c:v>
                </c:pt>
                <c:pt idx="5">
                  <c:v>28.5</c:v>
                </c:pt>
                <c:pt idx="6">
                  <c:v>38</c:v>
                </c:pt>
                <c:pt idx="7">
                  <c:v>49</c:v>
                </c:pt>
                <c:pt idx="8">
                  <c:v>37.5</c:v>
                </c:pt>
                <c:pt idx="9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307992"/>
        <c:axId val="149095344"/>
      </c:barChart>
      <c:catAx>
        <c:axId val="14830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9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09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39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43.5</c:v>
                </c:pt>
                <c:pt idx="1">
                  <c:v>51</c:v>
                </c:pt>
                <c:pt idx="2">
                  <c:v>52</c:v>
                </c:pt>
                <c:pt idx="3">
                  <c:v>55</c:v>
                </c:pt>
                <c:pt idx="4">
                  <c:v>37</c:v>
                </c:pt>
                <c:pt idx="5">
                  <c:v>39</c:v>
                </c:pt>
                <c:pt idx="6">
                  <c:v>41</c:v>
                </c:pt>
                <c:pt idx="7">
                  <c:v>52.5</c:v>
                </c:pt>
                <c:pt idx="8">
                  <c:v>50.5</c:v>
                </c:pt>
                <c:pt idx="9">
                  <c:v>45</c:v>
                </c:pt>
                <c:pt idx="10">
                  <c:v>51</c:v>
                </c:pt>
                <c:pt idx="11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096128"/>
        <c:axId val="149096520"/>
      </c:barChart>
      <c:catAx>
        <c:axId val="14909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9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09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9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</c:v>
                </c:pt>
                <c:pt idx="1">
                  <c:v>60</c:v>
                </c:pt>
                <c:pt idx="2">
                  <c:v>48.5</c:v>
                </c:pt>
                <c:pt idx="3">
                  <c:v>33.5</c:v>
                </c:pt>
                <c:pt idx="4">
                  <c:v>33</c:v>
                </c:pt>
                <c:pt idx="5">
                  <c:v>57.5</c:v>
                </c:pt>
                <c:pt idx="6">
                  <c:v>46.5</c:v>
                </c:pt>
                <c:pt idx="7">
                  <c:v>41.5</c:v>
                </c:pt>
                <c:pt idx="8">
                  <c:v>45.5</c:v>
                </c:pt>
                <c:pt idx="9">
                  <c:v>39.5</c:v>
                </c:pt>
                <c:pt idx="10">
                  <c:v>44.5</c:v>
                </c:pt>
                <c:pt idx="11">
                  <c:v>35.5</c:v>
                </c:pt>
                <c:pt idx="12">
                  <c:v>41.5</c:v>
                </c:pt>
                <c:pt idx="13">
                  <c:v>49.5</c:v>
                </c:pt>
                <c:pt idx="14">
                  <c:v>46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097304"/>
        <c:axId val="149097696"/>
      </c:barChart>
      <c:catAx>
        <c:axId val="14909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828"/>
              <c:y val="0.86624473229975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9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09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9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4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56.5</c:v>
                </c:pt>
                <c:pt idx="4">
                  <c:v>55</c:v>
                </c:pt>
                <c:pt idx="5">
                  <c:v>49</c:v>
                </c:pt>
                <c:pt idx="6">
                  <c:v>42.5</c:v>
                </c:pt>
                <c:pt idx="7">
                  <c:v>53</c:v>
                </c:pt>
                <c:pt idx="8">
                  <c:v>49.5</c:v>
                </c:pt>
                <c:pt idx="9">
                  <c:v>46.5</c:v>
                </c:pt>
                <c:pt idx="13">
                  <c:v>55.5</c:v>
                </c:pt>
                <c:pt idx="14">
                  <c:v>51.5</c:v>
                </c:pt>
                <c:pt idx="15">
                  <c:v>55.5</c:v>
                </c:pt>
                <c:pt idx="16">
                  <c:v>54.5</c:v>
                </c:pt>
                <c:pt idx="17">
                  <c:v>56.5</c:v>
                </c:pt>
                <c:pt idx="18">
                  <c:v>61</c:v>
                </c:pt>
                <c:pt idx="19">
                  <c:v>51</c:v>
                </c:pt>
                <c:pt idx="20">
                  <c:v>58.5</c:v>
                </c:pt>
                <c:pt idx="21">
                  <c:v>59</c:v>
                </c:pt>
                <c:pt idx="22">
                  <c:v>56</c:v>
                </c:pt>
                <c:pt idx="23">
                  <c:v>62</c:v>
                </c:pt>
                <c:pt idx="24">
                  <c:v>58</c:v>
                </c:pt>
                <c:pt idx="25">
                  <c:v>69.5</c:v>
                </c:pt>
                <c:pt idx="29">
                  <c:v>57</c:v>
                </c:pt>
                <c:pt idx="30">
                  <c:v>58.5</c:v>
                </c:pt>
                <c:pt idx="31">
                  <c:v>60.5</c:v>
                </c:pt>
                <c:pt idx="32">
                  <c:v>59.5</c:v>
                </c:pt>
                <c:pt idx="33">
                  <c:v>64</c:v>
                </c:pt>
                <c:pt idx="34">
                  <c:v>60</c:v>
                </c:pt>
                <c:pt idx="35">
                  <c:v>56</c:v>
                </c:pt>
                <c:pt idx="36">
                  <c:v>61.5</c:v>
                </c:pt>
                <c:pt idx="37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56.5</c:v>
                </c:pt>
                <c:pt idx="4">
                  <c:v>61</c:v>
                </c:pt>
                <c:pt idx="5">
                  <c:v>58.5</c:v>
                </c:pt>
                <c:pt idx="6">
                  <c:v>54</c:v>
                </c:pt>
                <c:pt idx="7">
                  <c:v>49</c:v>
                </c:pt>
                <c:pt idx="8">
                  <c:v>44.5</c:v>
                </c:pt>
                <c:pt idx="9">
                  <c:v>47.5</c:v>
                </c:pt>
                <c:pt idx="13">
                  <c:v>60</c:v>
                </c:pt>
                <c:pt idx="14">
                  <c:v>62</c:v>
                </c:pt>
                <c:pt idx="15">
                  <c:v>54.5</c:v>
                </c:pt>
                <c:pt idx="16">
                  <c:v>47</c:v>
                </c:pt>
                <c:pt idx="17">
                  <c:v>44.5</c:v>
                </c:pt>
                <c:pt idx="18">
                  <c:v>40</c:v>
                </c:pt>
                <c:pt idx="19">
                  <c:v>39</c:v>
                </c:pt>
                <c:pt idx="20">
                  <c:v>34.5</c:v>
                </c:pt>
                <c:pt idx="21">
                  <c:v>31</c:v>
                </c:pt>
                <c:pt idx="22">
                  <c:v>31.5</c:v>
                </c:pt>
                <c:pt idx="23">
                  <c:v>38</c:v>
                </c:pt>
                <c:pt idx="24">
                  <c:v>44</c:v>
                </c:pt>
                <c:pt idx="25">
                  <c:v>53</c:v>
                </c:pt>
                <c:pt idx="29">
                  <c:v>84</c:v>
                </c:pt>
                <c:pt idx="30">
                  <c:v>83</c:v>
                </c:pt>
                <c:pt idx="31">
                  <c:v>70.5</c:v>
                </c:pt>
                <c:pt idx="32">
                  <c:v>60</c:v>
                </c:pt>
                <c:pt idx="33">
                  <c:v>50</c:v>
                </c:pt>
                <c:pt idx="34">
                  <c:v>56.5</c:v>
                </c:pt>
                <c:pt idx="35">
                  <c:v>63.5</c:v>
                </c:pt>
                <c:pt idx="36">
                  <c:v>66</c:v>
                </c:pt>
                <c:pt idx="37">
                  <c:v>67.5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</c:v>
                </c:pt>
                <c:pt idx="4">
                  <c:v>47</c:v>
                </c:pt>
                <c:pt idx="5">
                  <c:v>35</c:v>
                </c:pt>
                <c:pt idx="6">
                  <c:v>26.5</c:v>
                </c:pt>
                <c:pt idx="7">
                  <c:v>22.5</c:v>
                </c:pt>
                <c:pt idx="8">
                  <c:v>28.5</c:v>
                </c:pt>
                <c:pt idx="9">
                  <c:v>38.5</c:v>
                </c:pt>
                <c:pt idx="13">
                  <c:v>47.5</c:v>
                </c:pt>
                <c:pt idx="14">
                  <c:v>40.5</c:v>
                </c:pt>
                <c:pt idx="15">
                  <c:v>35</c:v>
                </c:pt>
                <c:pt idx="16">
                  <c:v>34.5</c:v>
                </c:pt>
                <c:pt idx="17">
                  <c:v>33.5</c:v>
                </c:pt>
                <c:pt idx="18">
                  <c:v>39</c:v>
                </c:pt>
                <c:pt idx="19">
                  <c:v>38.5</c:v>
                </c:pt>
                <c:pt idx="20">
                  <c:v>36.5</c:v>
                </c:pt>
                <c:pt idx="21">
                  <c:v>34</c:v>
                </c:pt>
                <c:pt idx="22">
                  <c:v>30</c:v>
                </c:pt>
                <c:pt idx="23">
                  <c:v>28</c:v>
                </c:pt>
                <c:pt idx="24">
                  <c:v>29.5</c:v>
                </c:pt>
                <c:pt idx="25">
                  <c:v>31</c:v>
                </c:pt>
                <c:pt idx="29">
                  <c:v>26</c:v>
                </c:pt>
                <c:pt idx="30">
                  <c:v>25.5</c:v>
                </c:pt>
                <c:pt idx="31">
                  <c:v>25</c:v>
                </c:pt>
                <c:pt idx="32">
                  <c:v>25.5</c:v>
                </c:pt>
                <c:pt idx="33">
                  <c:v>22.5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41.5</c:v>
                </c:pt>
                <c:pt idx="4">
                  <c:v>44.5</c:v>
                </c:pt>
                <c:pt idx="5">
                  <c:v>39.5</c:v>
                </c:pt>
                <c:pt idx="6">
                  <c:v>40</c:v>
                </c:pt>
                <c:pt idx="7">
                  <c:v>45</c:v>
                </c:pt>
                <c:pt idx="8">
                  <c:v>30.5</c:v>
                </c:pt>
                <c:pt idx="9">
                  <c:v>29.5</c:v>
                </c:pt>
                <c:pt idx="13">
                  <c:v>25</c:v>
                </c:pt>
                <c:pt idx="14">
                  <c:v>21</c:v>
                </c:pt>
                <c:pt idx="15">
                  <c:v>27.5</c:v>
                </c:pt>
                <c:pt idx="16">
                  <c:v>34.5</c:v>
                </c:pt>
                <c:pt idx="17">
                  <c:v>44</c:v>
                </c:pt>
                <c:pt idx="18">
                  <c:v>51</c:v>
                </c:pt>
                <c:pt idx="19">
                  <c:v>44.5</c:v>
                </c:pt>
                <c:pt idx="20">
                  <c:v>41.5</c:v>
                </c:pt>
                <c:pt idx="21">
                  <c:v>41</c:v>
                </c:pt>
                <c:pt idx="22">
                  <c:v>43.5</c:v>
                </c:pt>
                <c:pt idx="23">
                  <c:v>43</c:v>
                </c:pt>
                <c:pt idx="24">
                  <c:v>41</c:v>
                </c:pt>
                <c:pt idx="25">
                  <c:v>35.5</c:v>
                </c:pt>
                <c:pt idx="29">
                  <c:v>34.5</c:v>
                </c:pt>
                <c:pt idx="30">
                  <c:v>28</c:v>
                </c:pt>
                <c:pt idx="31">
                  <c:v>27</c:v>
                </c:pt>
                <c:pt idx="32">
                  <c:v>27</c:v>
                </c:pt>
                <c:pt idx="33">
                  <c:v>33</c:v>
                </c:pt>
                <c:pt idx="34">
                  <c:v>43.5</c:v>
                </c:pt>
                <c:pt idx="35">
                  <c:v>45.5</c:v>
                </c:pt>
                <c:pt idx="36">
                  <c:v>46.5</c:v>
                </c:pt>
                <c:pt idx="37">
                  <c:v>41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207.5</c:v>
                </c:pt>
                <c:pt idx="4">
                  <c:v>207.5</c:v>
                </c:pt>
                <c:pt idx="5">
                  <c:v>182</c:v>
                </c:pt>
                <c:pt idx="6">
                  <c:v>163</c:v>
                </c:pt>
                <c:pt idx="7">
                  <c:v>169.5</c:v>
                </c:pt>
                <c:pt idx="8">
                  <c:v>153</c:v>
                </c:pt>
                <c:pt idx="9">
                  <c:v>162</c:v>
                </c:pt>
                <c:pt idx="13">
                  <c:v>188</c:v>
                </c:pt>
                <c:pt idx="14">
                  <c:v>175</c:v>
                </c:pt>
                <c:pt idx="15">
                  <c:v>172.5</c:v>
                </c:pt>
                <c:pt idx="16">
                  <c:v>170.5</c:v>
                </c:pt>
                <c:pt idx="17">
                  <c:v>178.5</c:v>
                </c:pt>
                <c:pt idx="18">
                  <c:v>191</c:v>
                </c:pt>
                <c:pt idx="19">
                  <c:v>173</c:v>
                </c:pt>
                <c:pt idx="20">
                  <c:v>171</c:v>
                </c:pt>
                <c:pt idx="21">
                  <c:v>165</c:v>
                </c:pt>
                <c:pt idx="22">
                  <c:v>161</c:v>
                </c:pt>
                <c:pt idx="23">
                  <c:v>171</c:v>
                </c:pt>
                <c:pt idx="24">
                  <c:v>172.5</c:v>
                </c:pt>
                <c:pt idx="25">
                  <c:v>189</c:v>
                </c:pt>
                <c:pt idx="29">
                  <c:v>201.5</c:v>
                </c:pt>
                <c:pt idx="30">
                  <c:v>195</c:v>
                </c:pt>
                <c:pt idx="31">
                  <c:v>183</c:v>
                </c:pt>
                <c:pt idx="32">
                  <c:v>172</c:v>
                </c:pt>
                <c:pt idx="33">
                  <c:v>169.5</c:v>
                </c:pt>
                <c:pt idx="34">
                  <c:v>183</c:v>
                </c:pt>
                <c:pt idx="35">
                  <c:v>189</c:v>
                </c:pt>
                <c:pt idx="36">
                  <c:v>199</c:v>
                </c:pt>
                <c:pt idx="37">
                  <c:v>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98480"/>
        <c:axId val="149098872"/>
      </c:lineChart>
      <c:catAx>
        <c:axId val="149098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909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098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9098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544" r="0.750000000000005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4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14.5</c:v>
                </c:pt>
                <c:pt idx="1">
                  <c:v>19.5</c:v>
                </c:pt>
                <c:pt idx="2">
                  <c:v>13</c:v>
                </c:pt>
                <c:pt idx="3">
                  <c:v>8.5</c:v>
                </c:pt>
                <c:pt idx="4">
                  <c:v>10.5</c:v>
                </c:pt>
                <c:pt idx="5">
                  <c:v>23.5</c:v>
                </c:pt>
                <c:pt idx="6">
                  <c:v>12</c:v>
                </c:pt>
                <c:pt idx="7">
                  <c:v>10.5</c:v>
                </c:pt>
                <c:pt idx="8">
                  <c:v>15</c:v>
                </c:pt>
                <c:pt idx="9">
                  <c:v>13.5</c:v>
                </c:pt>
                <c:pt idx="10">
                  <c:v>19.5</c:v>
                </c:pt>
                <c:pt idx="11">
                  <c:v>11</c:v>
                </c:pt>
                <c:pt idx="12">
                  <c:v>12</c:v>
                </c:pt>
                <c:pt idx="13">
                  <c:v>19.5</c:v>
                </c:pt>
                <c:pt idx="14">
                  <c:v>15.5</c:v>
                </c:pt>
                <c:pt idx="15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63856"/>
        <c:axId val="147464248"/>
      </c:barChart>
      <c:catAx>
        <c:axId val="14746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4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6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6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6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80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</c:v>
                </c:pt>
                <c:pt idx="1">
                  <c:v>14.5</c:v>
                </c:pt>
                <c:pt idx="2">
                  <c:v>13.5</c:v>
                </c:pt>
                <c:pt idx="3">
                  <c:v>17</c:v>
                </c:pt>
                <c:pt idx="4">
                  <c:v>13.5</c:v>
                </c:pt>
                <c:pt idx="5">
                  <c:v>16.5</c:v>
                </c:pt>
                <c:pt idx="6">
                  <c:v>12.5</c:v>
                </c:pt>
                <c:pt idx="7">
                  <c:v>21.5</c:v>
                </c:pt>
                <c:pt idx="8">
                  <c:v>9.5</c:v>
                </c:pt>
                <c:pt idx="9">
                  <c:v>12.5</c:v>
                </c:pt>
                <c:pt idx="10">
                  <c:v>18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65032"/>
        <c:axId val="147465424"/>
      </c:barChart>
      <c:catAx>
        <c:axId val="14746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6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6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6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8.5</c:v>
                </c:pt>
                <c:pt idx="1">
                  <c:v>12</c:v>
                </c:pt>
                <c:pt idx="2">
                  <c:v>14.5</c:v>
                </c:pt>
                <c:pt idx="3">
                  <c:v>21.5</c:v>
                </c:pt>
                <c:pt idx="4">
                  <c:v>13</c:v>
                </c:pt>
                <c:pt idx="5">
                  <c:v>9.5</c:v>
                </c:pt>
                <c:pt idx="6">
                  <c:v>10</c:v>
                </c:pt>
                <c:pt idx="7">
                  <c:v>16.5</c:v>
                </c:pt>
                <c:pt idx="8">
                  <c:v>8.5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306816"/>
        <c:axId val="148307208"/>
      </c:barChart>
      <c:catAx>
        <c:axId val="14830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0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16.5</c:v>
                </c:pt>
                <c:pt idx="1">
                  <c:v>23</c:v>
                </c:pt>
                <c:pt idx="2">
                  <c:v>24</c:v>
                </c:pt>
                <c:pt idx="3">
                  <c:v>20.5</c:v>
                </c:pt>
                <c:pt idx="4">
                  <c:v>15.5</c:v>
                </c:pt>
                <c:pt idx="5">
                  <c:v>10.5</c:v>
                </c:pt>
                <c:pt idx="6">
                  <c:v>13.5</c:v>
                </c:pt>
                <c:pt idx="7">
                  <c:v>10.5</c:v>
                </c:pt>
                <c:pt idx="8">
                  <c:v>22</c:v>
                </c:pt>
                <c:pt idx="9">
                  <c:v>17.5</c:v>
                </c:pt>
                <c:pt idx="10">
                  <c:v>16</c:v>
                </c:pt>
                <c:pt idx="11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309560"/>
        <c:axId val="148309952"/>
      </c:barChart>
      <c:catAx>
        <c:axId val="14830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0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0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5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131"/>
          <c:w val="0.92769502452400243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11.5</c:v>
                </c:pt>
                <c:pt idx="1">
                  <c:v>17</c:v>
                </c:pt>
                <c:pt idx="2">
                  <c:v>18.5</c:v>
                </c:pt>
                <c:pt idx="3">
                  <c:v>13</c:v>
                </c:pt>
                <c:pt idx="4">
                  <c:v>13.5</c:v>
                </c:pt>
                <c:pt idx="5">
                  <c:v>9.5</c:v>
                </c:pt>
                <c:pt idx="6">
                  <c:v>11</c:v>
                </c:pt>
                <c:pt idx="7">
                  <c:v>10.5</c:v>
                </c:pt>
                <c:pt idx="8">
                  <c:v>9</c:v>
                </c:pt>
                <c:pt idx="9">
                  <c:v>8.5</c:v>
                </c:pt>
                <c:pt idx="10">
                  <c:v>6.5</c:v>
                </c:pt>
                <c:pt idx="11">
                  <c:v>7</c:v>
                </c:pt>
                <c:pt idx="12">
                  <c:v>9.5</c:v>
                </c:pt>
                <c:pt idx="13">
                  <c:v>15</c:v>
                </c:pt>
                <c:pt idx="14">
                  <c:v>12.5</c:v>
                </c:pt>
                <c:pt idx="15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6224"/>
        <c:axId val="148766616"/>
      </c:barChart>
      <c:catAx>
        <c:axId val="14876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6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66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83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</c:v>
                </c:pt>
                <c:pt idx="1">
                  <c:v>14</c:v>
                </c:pt>
                <c:pt idx="2">
                  <c:v>17.5</c:v>
                </c:pt>
                <c:pt idx="3">
                  <c:v>9.5</c:v>
                </c:pt>
                <c:pt idx="4">
                  <c:v>6</c:v>
                </c:pt>
                <c:pt idx="5">
                  <c:v>2</c:v>
                </c:pt>
                <c:pt idx="6">
                  <c:v>9</c:v>
                </c:pt>
                <c:pt idx="7">
                  <c:v>5.5</c:v>
                </c:pt>
                <c:pt idx="8">
                  <c:v>12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7400"/>
        <c:axId val="148768184"/>
      </c:barChart>
      <c:catAx>
        <c:axId val="14876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6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61"/>
          <c:y val="3.26799471503984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7.5</c:v>
                </c:pt>
                <c:pt idx="1">
                  <c:v>6</c:v>
                </c:pt>
                <c:pt idx="2">
                  <c:v>3.5</c:v>
                </c:pt>
                <c:pt idx="3">
                  <c:v>9</c:v>
                </c:pt>
                <c:pt idx="4">
                  <c:v>7</c:v>
                </c:pt>
                <c:pt idx="5">
                  <c:v>5.5</c:v>
                </c:pt>
                <c:pt idx="6">
                  <c:v>4</c:v>
                </c:pt>
                <c:pt idx="7">
                  <c:v>6</c:v>
                </c:pt>
                <c:pt idx="8">
                  <c:v>7.5</c:v>
                </c:pt>
                <c:pt idx="9">
                  <c:v>6.5</c:v>
                </c:pt>
                <c:pt idx="10">
                  <c:v>5</c:v>
                </c:pt>
                <c:pt idx="11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8968"/>
        <c:axId val="147659592"/>
      </c:barChart>
      <c:catAx>
        <c:axId val="14876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65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65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4004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67"/>
          <c:y val="3.225806451612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</c:v>
                </c:pt>
                <c:pt idx="1">
                  <c:v>14.5</c:v>
                </c:pt>
                <c:pt idx="2">
                  <c:v>11.5</c:v>
                </c:pt>
                <c:pt idx="3">
                  <c:v>9.5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8.5</c:v>
                </c:pt>
                <c:pt idx="8">
                  <c:v>10.5</c:v>
                </c:pt>
                <c:pt idx="9">
                  <c:v>8.5</c:v>
                </c:pt>
                <c:pt idx="10">
                  <c:v>9</c:v>
                </c:pt>
                <c:pt idx="11">
                  <c:v>6</c:v>
                </c:pt>
                <c:pt idx="12">
                  <c:v>6.5</c:v>
                </c:pt>
                <c:pt idx="13">
                  <c:v>6.5</c:v>
                </c:pt>
                <c:pt idx="14">
                  <c:v>10.5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5832"/>
        <c:axId val="147660376"/>
      </c:barChart>
      <c:catAx>
        <c:axId val="14876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66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66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5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533" r="0.750000000000005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10467</xdr:colOff>
      <xdr:row>35</xdr:row>
      <xdr:rowOff>111761</xdr:rowOff>
    </xdr:from>
    <xdr:to>
      <xdr:col>41</xdr:col>
      <xdr:colOff>1256</xdr:colOff>
      <xdr:row>64</xdr:row>
      <xdr:rowOff>83735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18740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"/>
  <sheetViews>
    <sheetView topLeftCell="E13" workbookViewId="0">
      <selection activeCell="S28" sqref="S28"/>
    </sheetView>
  </sheetViews>
  <sheetFormatPr baseColWidth="10" defaultColWidth="11.5703125" defaultRowHeight="1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9.5703125" style="1" customWidth="1"/>
    <col min="23" max="23" width="8.28515625" style="1" hidden="1" customWidth="1"/>
    <col min="24" max="24" width="11.140625" style="1" hidden="1" customWidth="1"/>
    <col min="25" max="28" width="7.140625" style="1" hidden="1" customWidth="1"/>
    <col min="29" max="29" width="10" style="1" hidden="1" customWidth="1"/>
    <col min="30" max="30" width="6.28515625" style="1" hidden="1" customWidth="1"/>
    <col min="31" max="31" width="11.28515625" style="1" hidden="1" customWidth="1"/>
    <col min="32" max="35" width="7" style="1" hidden="1" customWidth="1"/>
    <col min="36" max="36" width="10.42578125" style="1" hidden="1" customWidth="1"/>
    <col min="37" max="37" width="6.140625" style="1" hidden="1" customWidth="1"/>
    <col min="38" max="38" width="12.5703125" style="1" hidden="1" customWidth="1"/>
    <col min="39" max="42" width="8.28515625" style="1" hidden="1" customWidth="1"/>
    <col min="43" max="43" width="10" style="1" hidden="1" customWidth="1"/>
    <col min="44" max="44" width="11.5703125" style="1"/>
    <col min="45" max="45" width="12" style="1" bestFit="1" customWidth="1"/>
    <col min="46" max="16384" width="11.5703125" style="1"/>
  </cols>
  <sheetData>
    <row r="1" spans="1:4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8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8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8" ht="12.75" customHeight="1">
      <c r="A4" s="368" t="s">
        <v>54</v>
      </c>
      <c r="B4" s="368"/>
      <c r="C4" s="368"/>
      <c r="D4" s="26"/>
      <c r="E4" s="371" t="s">
        <v>60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8" ht="12.75" customHeight="1">
      <c r="A5" s="366" t="s">
        <v>56</v>
      </c>
      <c r="B5" s="366"/>
      <c r="C5" s="366"/>
      <c r="D5" s="371" t="s">
        <v>229</v>
      </c>
      <c r="E5" s="371"/>
      <c r="F5" s="371"/>
      <c r="G5" s="371"/>
      <c r="H5" s="371"/>
      <c r="I5" s="366" t="s">
        <v>53</v>
      </c>
      <c r="J5" s="366"/>
      <c r="K5" s="366"/>
      <c r="L5" s="372"/>
      <c r="M5" s="372"/>
      <c r="N5" s="372"/>
      <c r="O5" s="12"/>
      <c r="P5" s="366" t="s">
        <v>57</v>
      </c>
      <c r="Q5" s="366"/>
      <c r="R5" s="366"/>
      <c r="S5" s="370" t="s">
        <v>63</v>
      </c>
      <c r="T5" s="370"/>
      <c r="U5" s="370"/>
    </row>
    <row r="6" spans="1:48" ht="12.75" customHeight="1">
      <c r="A6" s="366" t="s">
        <v>55</v>
      </c>
      <c r="B6" s="366"/>
      <c r="C6" s="366"/>
      <c r="D6" s="374" t="s">
        <v>150</v>
      </c>
      <c r="E6" s="374"/>
      <c r="F6" s="374"/>
      <c r="G6" s="374"/>
      <c r="H6" s="374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v>42892</v>
      </c>
      <c r="T6" s="373"/>
      <c r="U6" s="373"/>
    </row>
    <row r="7" spans="1:48" ht="11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7:30 - 8:30</v>
      </c>
      <c r="X7" s="346"/>
      <c r="AD7" s="346" t="str">
        <f>+'G-Totales'!M24</f>
        <v>12:15 - 13:15</v>
      </c>
      <c r="AE7" s="346"/>
      <c r="AK7" s="346" t="str">
        <f>+'G-Totales'!T24</f>
        <v>16:00 - 17:00</v>
      </c>
      <c r="AL7" s="346"/>
    </row>
    <row r="8" spans="1:48" ht="12.75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68">
        <v>7</v>
      </c>
    </row>
    <row r="9" spans="1:48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5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  <c r="AR9" s="212"/>
      <c r="AS9" s="212"/>
      <c r="AT9" s="212"/>
    </row>
    <row r="10" spans="1:48" ht="24" customHeight="1">
      <c r="A10" s="18" t="s">
        <v>11</v>
      </c>
      <c r="B10" s="61">
        <v>6</v>
      </c>
      <c r="C10" s="61">
        <v>11</v>
      </c>
      <c r="D10" s="61">
        <v>0</v>
      </c>
      <c r="E10" s="61">
        <v>2</v>
      </c>
      <c r="F10" s="6">
        <f t="shared" ref="F10:F22" si="0">B10*0.5+C10*1+D10*2+E10*2.5</f>
        <v>19</v>
      </c>
      <c r="G10" s="2"/>
      <c r="H10" s="19" t="s">
        <v>4</v>
      </c>
      <c r="I10" s="46">
        <v>5</v>
      </c>
      <c r="J10" s="46">
        <v>6</v>
      </c>
      <c r="K10" s="46">
        <v>0</v>
      </c>
      <c r="L10" s="46">
        <v>0</v>
      </c>
      <c r="M10" s="6">
        <f t="shared" ref="M10:M22" si="1">I10*0.5+J10*1+K10*2+L10*2.5</f>
        <v>8.5</v>
      </c>
      <c r="N10" s="9">
        <f>F20+F21+F22+M10</f>
        <v>55.5</v>
      </c>
      <c r="O10" s="19" t="s">
        <v>43</v>
      </c>
      <c r="P10" s="46">
        <v>6</v>
      </c>
      <c r="Q10" s="46">
        <v>9</v>
      </c>
      <c r="R10" s="46">
        <v>0</v>
      </c>
      <c r="S10" s="46">
        <v>0</v>
      </c>
      <c r="T10" s="6">
        <f t="shared" ref="T10:T21" si="2">P10*0.5+Q10*1+R10*2+S10*2.5</f>
        <v>12</v>
      </c>
      <c r="U10" s="36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55.5</v>
      </c>
      <c r="AE10" s="166" t="s">
        <v>74</v>
      </c>
      <c r="AF10" s="164">
        <f>SUM(B20:B22)+I10</f>
        <v>23</v>
      </c>
      <c r="AG10" s="164">
        <f>SUM(C20:C22)+J10</f>
        <v>44</v>
      </c>
      <c r="AH10" s="164">
        <f t="shared" ref="AH10:AI10" si="4">SUM(D20:D22)+K10</f>
        <v>0</v>
      </c>
      <c r="AI10" s="164">
        <f t="shared" si="4"/>
        <v>0</v>
      </c>
      <c r="AJ10" s="165">
        <f>MAX(F20:F22,M10)</f>
        <v>19.5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  <c r="AR10" s="164"/>
      <c r="AS10" s="81"/>
      <c r="AT10" s="168"/>
      <c r="AV10" s="81"/>
    </row>
    <row r="11" spans="1:48" ht="24" customHeight="1">
      <c r="A11" s="18" t="s">
        <v>14</v>
      </c>
      <c r="B11" s="61">
        <v>7</v>
      </c>
      <c r="C11" s="61">
        <v>12</v>
      </c>
      <c r="D11" s="61">
        <v>0</v>
      </c>
      <c r="E11" s="61">
        <v>1</v>
      </c>
      <c r="F11" s="6">
        <f t="shared" si="0"/>
        <v>18</v>
      </c>
      <c r="G11" s="2"/>
      <c r="H11" s="19" t="s">
        <v>5</v>
      </c>
      <c r="I11" s="46">
        <v>7</v>
      </c>
      <c r="J11" s="46">
        <v>7</v>
      </c>
      <c r="K11" s="46">
        <v>0</v>
      </c>
      <c r="L11" s="46">
        <v>0</v>
      </c>
      <c r="M11" s="6">
        <f t="shared" si="1"/>
        <v>10.5</v>
      </c>
      <c r="N11" s="9">
        <f>F21+F22+M10+M11</f>
        <v>51.5</v>
      </c>
      <c r="O11" s="19" t="s">
        <v>44</v>
      </c>
      <c r="P11" s="46">
        <v>5</v>
      </c>
      <c r="Q11" s="46">
        <v>7</v>
      </c>
      <c r="R11" s="46">
        <v>0</v>
      </c>
      <c r="S11" s="46">
        <v>2</v>
      </c>
      <c r="T11" s="6">
        <f t="shared" si="2"/>
        <v>14.5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51.5</v>
      </c>
      <c r="AE11" s="166" t="s">
        <v>64</v>
      </c>
      <c r="AF11" s="164">
        <f>SUM(B21:B22)+I10+I11</f>
        <v>25</v>
      </c>
      <c r="AG11" s="164">
        <f t="shared" ref="AG11:AI11" si="6">SUM(C21:C22)+J10+J11</f>
        <v>39</v>
      </c>
      <c r="AH11" s="164">
        <f t="shared" si="6"/>
        <v>0</v>
      </c>
      <c r="AI11" s="164">
        <f t="shared" si="6"/>
        <v>0</v>
      </c>
      <c r="AJ11" s="165">
        <f>MAX(F21:F22,M10,M11)</f>
        <v>19.5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  <c r="AR11" s="164"/>
      <c r="AS11" s="81"/>
      <c r="AT11" s="168"/>
      <c r="AV11" s="81"/>
    </row>
    <row r="12" spans="1:48" ht="24" customHeight="1">
      <c r="A12" s="18" t="s">
        <v>17</v>
      </c>
      <c r="B12" s="61">
        <v>4</v>
      </c>
      <c r="C12" s="61">
        <v>9</v>
      </c>
      <c r="D12" s="61">
        <v>0</v>
      </c>
      <c r="E12" s="61">
        <v>1</v>
      </c>
      <c r="F12" s="6">
        <f t="shared" si="0"/>
        <v>13.5</v>
      </c>
      <c r="G12" s="2"/>
      <c r="H12" s="19" t="s">
        <v>6</v>
      </c>
      <c r="I12" s="46">
        <v>10</v>
      </c>
      <c r="J12" s="46">
        <v>16</v>
      </c>
      <c r="K12" s="46">
        <v>0</v>
      </c>
      <c r="L12" s="46">
        <v>1</v>
      </c>
      <c r="M12" s="6">
        <f t="shared" si="1"/>
        <v>23.5</v>
      </c>
      <c r="N12" s="63">
        <f>F22+M10+M11+M12</f>
        <v>55.5</v>
      </c>
      <c r="O12" s="19" t="s">
        <v>32</v>
      </c>
      <c r="P12" s="46">
        <v>3</v>
      </c>
      <c r="Q12" s="46">
        <v>12</v>
      </c>
      <c r="R12" s="46">
        <v>0</v>
      </c>
      <c r="S12" s="46">
        <v>0</v>
      </c>
      <c r="T12" s="6">
        <f t="shared" si="2"/>
        <v>13.5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55.5</v>
      </c>
      <c r="AE12" s="166" t="s">
        <v>75</v>
      </c>
      <c r="AF12" s="164">
        <f>SUM(I10:I12)+B22</f>
        <v>28</v>
      </c>
      <c r="AG12" s="164">
        <f t="shared" ref="AG12:AI12" si="7">SUM(J10:J12)+C22</f>
        <v>39</v>
      </c>
      <c r="AH12" s="164">
        <f t="shared" si="7"/>
        <v>0</v>
      </c>
      <c r="AI12" s="164">
        <f t="shared" si="7"/>
        <v>1</v>
      </c>
      <c r="AJ12" s="165">
        <f>MAX(M10:M12,F22)</f>
        <v>23.5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  <c r="AR12" s="164"/>
      <c r="AS12" s="81"/>
      <c r="AT12" s="168"/>
      <c r="AV12" s="81"/>
    </row>
    <row r="13" spans="1:48" ht="24" customHeight="1">
      <c r="A13" s="18" t="s">
        <v>19</v>
      </c>
      <c r="B13" s="61">
        <v>0</v>
      </c>
      <c r="C13" s="61">
        <v>6</v>
      </c>
      <c r="D13" s="61">
        <v>0</v>
      </c>
      <c r="E13" s="61">
        <v>0</v>
      </c>
      <c r="F13" s="6">
        <f t="shared" si="0"/>
        <v>6</v>
      </c>
      <c r="G13" s="63">
        <f t="shared" ref="G13:G19" si="8">F10+F11+F12+F13</f>
        <v>56.5</v>
      </c>
      <c r="H13" s="19" t="s">
        <v>7</v>
      </c>
      <c r="I13" s="46">
        <v>6</v>
      </c>
      <c r="J13" s="46">
        <v>9</v>
      </c>
      <c r="K13" s="46">
        <v>0</v>
      </c>
      <c r="L13" s="46">
        <v>0</v>
      </c>
      <c r="M13" s="6">
        <f t="shared" si="1"/>
        <v>12</v>
      </c>
      <c r="N13" s="63">
        <f t="shared" ref="N13:N18" si="9">M10+M11+M12+M13</f>
        <v>54.5</v>
      </c>
      <c r="O13" s="19" t="s">
        <v>33</v>
      </c>
      <c r="P13" s="46">
        <v>10</v>
      </c>
      <c r="Q13" s="46">
        <v>12</v>
      </c>
      <c r="R13" s="46">
        <v>0</v>
      </c>
      <c r="S13" s="46">
        <v>0</v>
      </c>
      <c r="T13" s="6">
        <f t="shared" si="2"/>
        <v>17</v>
      </c>
      <c r="U13" s="2">
        <f t="shared" ref="U13:U21" si="10">T10+T11+T12+T13</f>
        <v>57</v>
      </c>
      <c r="W13" s="165">
        <f>+G13</f>
        <v>56.5</v>
      </c>
      <c r="X13" s="166" t="s">
        <v>65</v>
      </c>
      <c r="Y13" s="164">
        <f t="shared" ref="Y13:AB19" si="11">SUM(B10:B13)</f>
        <v>17</v>
      </c>
      <c r="Z13" s="164">
        <f t="shared" si="11"/>
        <v>38</v>
      </c>
      <c r="AA13" s="164">
        <f t="shared" si="11"/>
        <v>0</v>
      </c>
      <c r="AB13" s="164">
        <f t="shared" si="11"/>
        <v>4</v>
      </c>
      <c r="AC13" s="81">
        <f t="shared" ref="AC13:AC19" si="12">MAX(F10:F13)</f>
        <v>19</v>
      </c>
      <c r="AD13" s="165">
        <f t="shared" si="5"/>
        <v>54.5</v>
      </c>
      <c r="AE13" s="166" t="s">
        <v>76</v>
      </c>
      <c r="AF13" s="164">
        <f>SUM(I10:I13)</f>
        <v>28</v>
      </c>
      <c r="AG13" s="164">
        <f t="shared" ref="AG13:AI13" si="13">SUM(J10:J13)</f>
        <v>38</v>
      </c>
      <c r="AH13" s="164">
        <f t="shared" si="13"/>
        <v>0</v>
      </c>
      <c r="AI13" s="164">
        <f t="shared" si="13"/>
        <v>1</v>
      </c>
      <c r="AJ13" s="165">
        <f>MAX(M10:M13)</f>
        <v>23.5</v>
      </c>
      <c r="AK13" s="165">
        <f>+U13</f>
        <v>57</v>
      </c>
      <c r="AL13" s="166" t="s">
        <v>77</v>
      </c>
      <c r="AM13" s="1">
        <f>SUM(P10:P13)</f>
        <v>24</v>
      </c>
      <c r="AN13" s="1">
        <f t="shared" ref="AN13:AP13" si="14">SUM(Q10:Q13)</f>
        <v>40</v>
      </c>
      <c r="AO13" s="1">
        <f t="shared" si="14"/>
        <v>0</v>
      </c>
      <c r="AP13" s="1">
        <f t="shared" si="14"/>
        <v>2</v>
      </c>
      <c r="AQ13" s="81">
        <f>MAX(T10:T13)</f>
        <v>17</v>
      </c>
      <c r="AR13" s="81"/>
      <c r="AS13" s="81"/>
      <c r="AT13" s="81"/>
      <c r="AV13" s="81"/>
    </row>
    <row r="14" spans="1:48" ht="24" customHeight="1">
      <c r="A14" s="18" t="s">
        <v>21</v>
      </c>
      <c r="B14" s="46">
        <v>1</v>
      </c>
      <c r="C14" s="46">
        <v>12</v>
      </c>
      <c r="D14" s="46">
        <v>0</v>
      </c>
      <c r="E14" s="46">
        <v>2</v>
      </c>
      <c r="F14" s="6">
        <f t="shared" si="0"/>
        <v>17.5</v>
      </c>
      <c r="G14" s="63">
        <f t="shared" si="8"/>
        <v>55</v>
      </c>
      <c r="H14" s="19" t="s">
        <v>9</v>
      </c>
      <c r="I14" s="46">
        <v>5</v>
      </c>
      <c r="J14" s="46">
        <v>8</v>
      </c>
      <c r="K14" s="46">
        <v>0</v>
      </c>
      <c r="L14" s="46">
        <v>0</v>
      </c>
      <c r="M14" s="6">
        <f t="shared" si="1"/>
        <v>10.5</v>
      </c>
      <c r="N14" s="63">
        <f t="shared" si="9"/>
        <v>56.5</v>
      </c>
      <c r="O14" s="19" t="s">
        <v>29</v>
      </c>
      <c r="P14" s="45">
        <v>7</v>
      </c>
      <c r="Q14" s="45">
        <v>10</v>
      </c>
      <c r="R14" s="45">
        <v>0</v>
      </c>
      <c r="S14" s="45">
        <v>0</v>
      </c>
      <c r="T14" s="6">
        <f t="shared" si="2"/>
        <v>13.5</v>
      </c>
      <c r="U14" s="2">
        <f t="shared" si="10"/>
        <v>58.5</v>
      </c>
      <c r="W14" s="165">
        <f t="shared" ref="W14:W19" si="15">+G14</f>
        <v>55</v>
      </c>
      <c r="X14" s="166" t="s">
        <v>66</v>
      </c>
      <c r="Y14" s="164">
        <f t="shared" si="11"/>
        <v>12</v>
      </c>
      <c r="Z14" s="164">
        <f t="shared" si="11"/>
        <v>39</v>
      </c>
      <c r="AA14" s="164">
        <f t="shared" si="11"/>
        <v>0</v>
      </c>
      <c r="AB14" s="164">
        <f t="shared" si="11"/>
        <v>4</v>
      </c>
      <c r="AC14" s="81">
        <f t="shared" si="12"/>
        <v>18</v>
      </c>
      <c r="AD14" s="165">
        <f t="shared" si="5"/>
        <v>56.5</v>
      </c>
      <c r="AE14" s="166" t="s">
        <v>67</v>
      </c>
      <c r="AF14" s="164">
        <f>SUM(I11:I14)</f>
        <v>28</v>
      </c>
      <c r="AG14" s="164">
        <f t="shared" ref="AG14" si="16">SUM(J11:J14)</f>
        <v>40</v>
      </c>
      <c r="AH14" s="164">
        <f t="shared" ref="AH14" si="17">SUM(K11:K14)</f>
        <v>0</v>
      </c>
      <c r="AI14" s="164">
        <f t="shared" ref="AI14" si="18">SUM(L11:L14)</f>
        <v>1</v>
      </c>
      <c r="AJ14" s="165">
        <f>MAX(M11:M14)</f>
        <v>23.5</v>
      </c>
      <c r="AK14" s="165">
        <f t="shared" ref="AK14:AK21" si="19">+U14</f>
        <v>58.5</v>
      </c>
      <c r="AL14" s="166" t="s">
        <v>78</v>
      </c>
      <c r="AM14" s="1">
        <f>SUM(P11:P14)</f>
        <v>25</v>
      </c>
      <c r="AN14" s="1">
        <f t="shared" ref="AN14" si="20">SUM(Q11:Q14)</f>
        <v>41</v>
      </c>
      <c r="AO14" s="1">
        <f t="shared" ref="AO14" si="21">SUM(R11:R14)</f>
        <v>0</v>
      </c>
      <c r="AP14" s="1">
        <f t="shared" ref="AP14" si="22">SUM(S11:S14)</f>
        <v>2</v>
      </c>
      <c r="AQ14" s="81">
        <f t="shared" ref="AQ14:AQ21" si="23">MAX(T11:T14)</f>
        <v>17</v>
      </c>
      <c r="AR14" s="81"/>
      <c r="AS14" s="81"/>
      <c r="AT14" s="81"/>
      <c r="AV14" s="81"/>
    </row>
    <row r="15" spans="1:48" ht="24" customHeight="1">
      <c r="A15" s="18" t="s">
        <v>23</v>
      </c>
      <c r="B15" s="46">
        <v>2</v>
      </c>
      <c r="C15" s="46">
        <v>11</v>
      </c>
      <c r="D15" s="46">
        <v>0</v>
      </c>
      <c r="E15" s="46">
        <v>0</v>
      </c>
      <c r="F15" s="6">
        <f t="shared" si="0"/>
        <v>12</v>
      </c>
      <c r="G15" s="63">
        <f t="shared" si="8"/>
        <v>49</v>
      </c>
      <c r="H15" s="19" t="s">
        <v>12</v>
      </c>
      <c r="I15" s="46">
        <v>8</v>
      </c>
      <c r="J15" s="46">
        <v>11</v>
      </c>
      <c r="K15" s="46">
        <v>0</v>
      </c>
      <c r="L15" s="46">
        <v>0</v>
      </c>
      <c r="M15" s="6">
        <f t="shared" si="1"/>
        <v>15</v>
      </c>
      <c r="N15" s="2">
        <f t="shared" si="9"/>
        <v>61</v>
      </c>
      <c r="O15" s="18" t="s">
        <v>30</v>
      </c>
      <c r="P15" s="46">
        <v>5</v>
      </c>
      <c r="Q15" s="46">
        <v>14</v>
      </c>
      <c r="R15" s="46">
        <v>0</v>
      </c>
      <c r="S15" s="46">
        <v>0</v>
      </c>
      <c r="T15" s="6">
        <f t="shared" si="2"/>
        <v>16.5</v>
      </c>
      <c r="U15" s="2">
        <f t="shared" si="10"/>
        <v>60.5</v>
      </c>
      <c r="W15" s="165">
        <f t="shared" si="15"/>
        <v>49</v>
      </c>
      <c r="X15" s="166" t="s">
        <v>79</v>
      </c>
      <c r="Y15" s="164">
        <f t="shared" si="11"/>
        <v>7</v>
      </c>
      <c r="Z15" s="164">
        <f t="shared" si="11"/>
        <v>38</v>
      </c>
      <c r="AA15" s="164">
        <f t="shared" si="11"/>
        <v>0</v>
      </c>
      <c r="AB15" s="164">
        <f t="shared" si="11"/>
        <v>3</v>
      </c>
      <c r="AC15" s="81">
        <f t="shared" si="12"/>
        <v>17.5</v>
      </c>
      <c r="AD15" s="165">
        <f t="shared" si="5"/>
        <v>61</v>
      </c>
      <c r="AE15" s="166" t="s">
        <v>80</v>
      </c>
      <c r="AF15" s="164">
        <f t="shared" ref="AF15:AF22" si="24">SUM(I12:I15)</f>
        <v>29</v>
      </c>
      <c r="AG15" s="164">
        <f t="shared" ref="AG15:AG22" si="25">SUM(J12:J15)</f>
        <v>44</v>
      </c>
      <c r="AH15" s="164">
        <f t="shared" ref="AH15:AH22" si="26">SUM(K12:K15)</f>
        <v>0</v>
      </c>
      <c r="AI15" s="164">
        <f t="shared" ref="AI15:AI22" si="27">SUM(L12:L15)</f>
        <v>1</v>
      </c>
      <c r="AJ15" s="165">
        <f t="shared" ref="AJ15:AJ22" si="28">MAX(M12:M15)</f>
        <v>23.5</v>
      </c>
      <c r="AK15" s="165">
        <f t="shared" si="19"/>
        <v>60.5</v>
      </c>
      <c r="AL15" s="166" t="s">
        <v>81</v>
      </c>
      <c r="AM15" s="1">
        <f t="shared" ref="AM15:AM21" si="29">SUM(P12:P15)</f>
        <v>25</v>
      </c>
      <c r="AN15" s="1">
        <f t="shared" ref="AN15:AN21" si="30">SUM(Q12:Q15)</f>
        <v>48</v>
      </c>
      <c r="AO15" s="1">
        <f t="shared" ref="AO15:AO21" si="31">SUM(R12:R15)</f>
        <v>0</v>
      </c>
      <c r="AP15" s="1">
        <f t="shared" ref="AP15:AP21" si="32">SUM(S12:S15)</f>
        <v>0</v>
      </c>
      <c r="AQ15" s="81">
        <f t="shared" si="23"/>
        <v>17</v>
      </c>
      <c r="AR15" s="81"/>
      <c r="AS15" s="81"/>
      <c r="AT15" s="81"/>
      <c r="AV15" s="81"/>
    </row>
    <row r="16" spans="1:48" ht="24" customHeight="1">
      <c r="A16" s="18" t="s">
        <v>39</v>
      </c>
      <c r="B16" s="46">
        <v>0</v>
      </c>
      <c r="C16" s="46">
        <v>5</v>
      </c>
      <c r="D16" s="46">
        <v>1</v>
      </c>
      <c r="E16" s="46">
        <v>0</v>
      </c>
      <c r="F16" s="6">
        <f t="shared" si="0"/>
        <v>7</v>
      </c>
      <c r="G16" s="63">
        <f t="shared" si="8"/>
        <v>42.5</v>
      </c>
      <c r="H16" s="19" t="s">
        <v>15</v>
      </c>
      <c r="I16" s="46">
        <v>7</v>
      </c>
      <c r="J16" s="46">
        <v>10</v>
      </c>
      <c r="K16" s="46">
        <v>0</v>
      </c>
      <c r="L16" s="46">
        <v>0</v>
      </c>
      <c r="M16" s="6">
        <f t="shared" si="1"/>
        <v>13.5</v>
      </c>
      <c r="N16" s="2">
        <f t="shared" si="9"/>
        <v>51</v>
      </c>
      <c r="O16" s="19" t="s">
        <v>8</v>
      </c>
      <c r="P16" s="46">
        <v>3</v>
      </c>
      <c r="Q16" s="46">
        <v>11</v>
      </c>
      <c r="R16" s="46">
        <v>0</v>
      </c>
      <c r="S16" s="46">
        <v>0</v>
      </c>
      <c r="T16" s="6">
        <f t="shared" si="2"/>
        <v>12.5</v>
      </c>
      <c r="U16" s="2">
        <f t="shared" si="10"/>
        <v>59.5</v>
      </c>
      <c r="W16" s="165">
        <f t="shared" si="15"/>
        <v>42.5</v>
      </c>
      <c r="X16" s="166" t="s">
        <v>82</v>
      </c>
      <c r="Y16" s="164">
        <f t="shared" si="11"/>
        <v>3</v>
      </c>
      <c r="Z16" s="164">
        <f t="shared" si="11"/>
        <v>34</v>
      </c>
      <c r="AA16" s="164">
        <f t="shared" si="11"/>
        <v>1</v>
      </c>
      <c r="AB16" s="164">
        <f t="shared" si="11"/>
        <v>2</v>
      </c>
      <c r="AC16" s="81">
        <f t="shared" si="12"/>
        <v>17.5</v>
      </c>
      <c r="AD16" s="165">
        <f t="shared" si="5"/>
        <v>51</v>
      </c>
      <c r="AE16" s="166" t="s">
        <v>68</v>
      </c>
      <c r="AF16" s="164">
        <f t="shared" si="24"/>
        <v>26</v>
      </c>
      <c r="AG16" s="164">
        <f t="shared" si="25"/>
        <v>38</v>
      </c>
      <c r="AH16" s="164">
        <f t="shared" si="26"/>
        <v>0</v>
      </c>
      <c r="AI16" s="164">
        <f t="shared" si="27"/>
        <v>0</v>
      </c>
      <c r="AJ16" s="165">
        <f t="shared" si="28"/>
        <v>15</v>
      </c>
      <c r="AK16" s="165">
        <f t="shared" si="19"/>
        <v>59.5</v>
      </c>
      <c r="AL16" s="166" t="s">
        <v>83</v>
      </c>
      <c r="AM16" s="1">
        <f t="shared" si="29"/>
        <v>25</v>
      </c>
      <c r="AN16" s="1">
        <f t="shared" si="30"/>
        <v>47</v>
      </c>
      <c r="AO16" s="1">
        <f t="shared" si="31"/>
        <v>0</v>
      </c>
      <c r="AP16" s="1">
        <f t="shared" si="32"/>
        <v>0</v>
      </c>
      <c r="AQ16" s="81">
        <f t="shared" si="23"/>
        <v>17</v>
      </c>
      <c r="AR16" s="81"/>
      <c r="AS16" s="81"/>
      <c r="AT16" s="81"/>
      <c r="AV16" s="81"/>
    </row>
    <row r="17" spans="1:48" ht="24" customHeight="1">
      <c r="A17" s="18" t="s">
        <v>40</v>
      </c>
      <c r="B17" s="46">
        <v>1</v>
      </c>
      <c r="C17" s="46">
        <v>16</v>
      </c>
      <c r="D17" s="46">
        <v>0</v>
      </c>
      <c r="E17" s="46">
        <v>0</v>
      </c>
      <c r="F17" s="6">
        <f t="shared" si="0"/>
        <v>16.5</v>
      </c>
      <c r="G17" s="63">
        <f t="shared" si="8"/>
        <v>53</v>
      </c>
      <c r="H17" s="19" t="s">
        <v>18</v>
      </c>
      <c r="I17" s="46">
        <v>7</v>
      </c>
      <c r="J17" s="46">
        <v>11</v>
      </c>
      <c r="K17" s="46">
        <v>0</v>
      </c>
      <c r="L17" s="46">
        <v>2</v>
      </c>
      <c r="M17" s="6">
        <f t="shared" si="1"/>
        <v>19.5</v>
      </c>
      <c r="N17" s="2">
        <f t="shared" si="9"/>
        <v>58.5</v>
      </c>
      <c r="O17" s="19" t="s">
        <v>10</v>
      </c>
      <c r="P17" s="46">
        <v>3</v>
      </c>
      <c r="Q17" s="46">
        <v>20</v>
      </c>
      <c r="R17" s="46">
        <v>0</v>
      </c>
      <c r="S17" s="46">
        <v>0</v>
      </c>
      <c r="T17" s="6">
        <f t="shared" si="2"/>
        <v>21.5</v>
      </c>
      <c r="U17" s="2">
        <f t="shared" si="10"/>
        <v>64</v>
      </c>
      <c r="W17" s="165">
        <f t="shared" si="15"/>
        <v>53</v>
      </c>
      <c r="X17" s="166" t="s">
        <v>84</v>
      </c>
      <c r="Y17" s="164">
        <f t="shared" si="11"/>
        <v>4</v>
      </c>
      <c r="Z17" s="164">
        <f t="shared" si="11"/>
        <v>44</v>
      </c>
      <c r="AA17" s="164">
        <f t="shared" si="11"/>
        <v>1</v>
      </c>
      <c r="AB17" s="164">
        <f t="shared" si="11"/>
        <v>2</v>
      </c>
      <c r="AC17" s="81">
        <f t="shared" si="12"/>
        <v>17.5</v>
      </c>
      <c r="AD17" s="165">
        <f t="shared" si="5"/>
        <v>58.5</v>
      </c>
      <c r="AE17" s="166" t="s">
        <v>85</v>
      </c>
      <c r="AF17" s="164">
        <f t="shared" si="24"/>
        <v>27</v>
      </c>
      <c r="AG17" s="164">
        <f t="shared" si="25"/>
        <v>40</v>
      </c>
      <c r="AH17" s="164">
        <f t="shared" si="26"/>
        <v>0</v>
      </c>
      <c r="AI17" s="164">
        <f t="shared" si="27"/>
        <v>2</v>
      </c>
      <c r="AJ17" s="165">
        <f t="shared" si="28"/>
        <v>19.5</v>
      </c>
      <c r="AK17" s="165">
        <f t="shared" si="19"/>
        <v>64</v>
      </c>
      <c r="AL17" s="166" t="s">
        <v>86</v>
      </c>
      <c r="AM17" s="1">
        <f t="shared" si="29"/>
        <v>18</v>
      </c>
      <c r="AN17" s="1">
        <f t="shared" si="30"/>
        <v>55</v>
      </c>
      <c r="AO17" s="1">
        <f t="shared" si="31"/>
        <v>0</v>
      </c>
      <c r="AP17" s="1">
        <f t="shared" si="32"/>
        <v>0</v>
      </c>
      <c r="AQ17" s="81">
        <f t="shared" si="23"/>
        <v>21.5</v>
      </c>
      <c r="AR17" s="81"/>
      <c r="AS17" s="81"/>
      <c r="AT17" s="81"/>
      <c r="AV17" s="81"/>
    </row>
    <row r="18" spans="1:48" ht="24" customHeight="1">
      <c r="A18" s="18" t="s">
        <v>41</v>
      </c>
      <c r="B18" s="46">
        <v>4</v>
      </c>
      <c r="C18" s="46">
        <v>7</v>
      </c>
      <c r="D18" s="46">
        <v>0</v>
      </c>
      <c r="E18" s="46">
        <v>2</v>
      </c>
      <c r="F18" s="6">
        <f t="shared" si="0"/>
        <v>14</v>
      </c>
      <c r="G18" s="63">
        <f t="shared" si="8"/>
        <v>49.5</v>
      </c>
      <c r="H18" s="19" t="s">
        <v>20</v>
      </c>
      <c r="I18" s="46">
        <v>4</v>
      </c>
      <c r="J18" s="46">
        <v>9</v>
      </c>
      <c r="K18" s="46">
        <v>0</v>
      </c>
      <c r="L18" s="46">
        <v>0</v>
      </c>
      <c r="M18" s="6">
        <f t="shared" si="1"/>
        <v>11</v>
      </c>
      <c r="N18" s="2">
        <f t="shared" si="9"/>
        <v>59</v>
      </c>
      <c r="O18" s="19" t="s">
        <v>13</v>
      </c>
      <c r="P18" s="46">
        <v>1</v>
      </c>
      <c r="Q18" s="46">
        <v>9</v>
      </c>
      <c r="R18" s="46">
        <v>0</v>
      </c>
      <c r="S18" s="46">
        <v>0</v>
      </c>
      <c r="T18" s="6">
        <f t="shared" si="2"/>
        <v>9.5</v>
      </c>
      <c r="U18" s="2">
        <f t="shared" si="10"/>
        <v>60</v>
      </c>
      <c r="W18" s="165">
        <f t="shared" si="15"/>
        <v>49.5</v>
      </c>
      <c r="X18" s="166" t="s">
        <v>87</v>
      </c>
      <c r="Y18" s="164">
        <f t="shared" si="11"/>
        <v>7</v>
      </c>
      <c r="Z18" s="164">
        <f t="shared" si="11"/>
        <v>39</v>
      </c>
      <c r="AA18" s="164">
        <f t="shared" si="11"/>
        <v>1</v>
      </c>
      <c r="AB18" s="164">
        <f t="shared" si="11"/>
        <v>2</v>
      </c>
      <c r="AC18" s="81">
        <f t="shared" si="12"/>
        <v>16.5</v>
      </c>
      <c r="AD18" s="165">
        <f t="shared" si="5"/>
        <v>59</v>
      </c>
      <c r="AE18" s="166" t="s">
        <v>88</v>
      </c>
      <c r="AF18" s="164">
        <f t="shared" si="24"/>
        <v>26</v>
      </c>
      <c r="AG18" s="164">
        <f t="shared" si="25"/>
        <v>41</v>
      </c>
      <c r="AH18" s="164">
        <f t="shared" si="26"/>
        <v>0</v>
      </c>
      <c r="AI18" s="164">
        <f t="shared" si="27"/>
        <v>2</v>
      </c>
      <c r="AJ18" s="165">
        <f t="shared" si="28"/>
        <v>19.5</v>
      </c>
      <c r="AK18" s="165">
        <f t="shared" si="19"/>
        <v>60</v>
      </c>
      <c r="AL18" s="166" t="s">
        <v>69</v>
      </c>
      <c r="AM18" s="1">
        <f t="shared" si="29"/>
        <v>12</v>
      </c>
      <c r="AN18" s="1">
        <f t="shared" si="30"/>
        <v>54</v>
      </c>
      <c r="AO18" s="1">
        <f t="shared" si="31"/>
        <v>0</v>
      </c>
      <c r="AP18" s="1">
        <f t="shared" si="32"/>
        <v>0</v>
      </c>
      <c r="AQ18" s="81">
        <f t="shared" si="23"/>
        <v>21.5</v>
      </c>
      <c r="AR18" s="81"/>
      <c r="AS18" s="81"/>
      <c r="AT18" s="81"/>
      <c r="AV18" s="81"/>
    </row>
    <row r="19" spans="1:48" ht="24" customHeight="1" thickBot="1">
      <c r="A19" s="21" t="s">
        <v>42</v>
      </c>
      <c r="B19" s="47">
        <v>2</v>
      </c>
      <c r="C19" s="47">
        <v>8</v>
      </c>
      <c r="D19" s="47">
        <v>0</v>
      </c>
      <c r="E19" s="47">
        <v>0</v>
      </c>
      <c r="F19" s="7">
        <f t="shared" si="0"/>
        <v>9</v>
      </c>
      <c r="G19" s="3">
        <f t="shared" si="8"/>
        <v>46.5</v>
      </c>
      <c r="H19" s="20" t="s">
        <v>22</v>
      </c>
      <c r="I19" s="45">
        <v>6</v>
      </c>
      <c r="J19" s="45">
        <v>9</v>
      </c>
      <c r="K19" s="45">
        <v>0</v>
      </c>
      <c r="L19" s="45">
        <v>0</v>
      </c>
      <c r="M19" s="6">
        <f t="shared" si="1"/>
        <v>12</v>
      </c>
      <c r="N19" s="2">
        <f>M16+M17+M18+M19</f>
        <v>56</v>
      </c>
      <c r="O19" s="19" t="s">
        <v>16</v>
      </c>
      <c r="P19" s="46">
        <v>3</v>
      </c>
      <c r="Q19" s="46">
        <v>11</v>
      </c>
      <c r="R19" s="46">
        <v>0</v>
      </c>
      <c r="S19" s="46">
        <v>0</v>
      </c>
      <c r="T19" s="6">
        <f t="shared" si="2"/>
        <v>12.5</v>
      </c>
      <c r="U19" s="2">
        <f>T16+T17+T18+T19</f>
        <v>56</v>
      </c>
      <c r="W19" s="165">
        <f t="shared" si="15"/>
        <v>46.5</v>
      </c>
      <c r="X19" s="166" t="s">
        <v>89</v>
      </c>
      <c r="Y19" s="164">
        <f t="shared" si="11"/>
        <v>7</v>
      </c>
      <c r="Z19" s="164">
        <f t="shared" si="11"/>
        <v>36</v>
      </c>
      <c r="AA19" s="164">
        <f t="shared" si="11"/>
        <v>1</v>
      </c>
      <c r="AB19" s="164">
        <f t="shared" si="11"/>
        <v>2</v>
      </c>
      <c r="AC19" s="81">
        <f t="shared" si="12"/>
        <v>16.5</v>
      </c>
      <c r="AD19" s="165">
        <f t="shared" si="5"/>
        <v>56</v>
      </c>
      <c r="AE19" s="166" t="s">
        <v>90</v>
      </c>
      <c r="AF19" s="164">
        <f t="shared" si="24"/>
        <v>24</v>
      </c>
      <c r="AG19" s="164">
        <f t="shared" si="25"/>
        <v>39</v>
      </c>
      <c r="AH19" s="164">
        <f t="shared" si="26"/>
        <v>0</v>
      </c>
      <c r="AI19" s="164">
        <f t="shared" si="27"/>
        <v>2</v>
      </c>
      <c r="AJ19" s="165">
        <f t="shared" si="28"/>
        <v>19.5</v>
      </c>
      <c r="AK19" s="165">
        <f t="shared" si="19"/>
        <v>56</v>
      </c>
      <c r="AL19" s="166" t="s">
        <v>91</v>
      </c>
      <c r="AM19" s="1">
        <f t="shared" si="29"/>
        <v>10</v>
      </c>
      <c r="AN19" s="1">
        <f t="shared" si="30"/>
        <v>51</v>
      </c>
      <c r="AO19" s="1">
        <f t="shared" si="31"/>
        <v>0</v>
      </c>
      <c r="AP19" s="1">
        <f t="shared" si="32"/>
        <v>0</v>
      </c>
      <c r="AQ19" s="81">
        <f t="shared" si="23"/>
        <v>21.5</v>
      </c>
      <c r="AR19" s="81"/>
      <c r="AS19" s="81"/>
      <c r="AT19" s="81"/>
      <c r="AV19" s="81"/>
    </row>
    <row r="20" spans="1:48" ht="24" customHeight="1">
      <c r="A20" s="19" t="s">
        <v>27</v>
      </c>
      <c r="B20" s="45">
        <v>5</v>
      </c>
      <c r="C20" s="45">
        <v>12</v>
      </c>
      <c r="D20" s="45">
        <v>0</v>
      </c>
      <c r="E20" s="45">
        <v>0</v>
      </c>
      <c r="F20" s="8">
        <f t="shared" si="0"/>
        <v>14.5</v>
      </c>
      <c r="G20" s="35"/>
      <c r="H20" s="19" t="s">
        <v>24</v>
      </c>
      <c r="I20" s="46">
        <v>4</v>
      </c>
      <c r="J20" s="46">
        <v>15</v>
      </c>
      <c r="K20" s="46">
        <v>0</v>
      </c>
      <c r="L20" s="46">
        <v>1</v>
      </c>
      <c r="M20" s="8">
        <f t="shared" si="1"/>
        <v>19.5</v>
      </c>
      <c r="N20" s="2">
        <f>M17+M18+M19+M20</f>
        <v>62</v>
      </c>
      <c r="O20" s="19" t="s">
        <v>45</v>
      </c>
      <c r="P20" s="45">
        <v>3</v>
      </c>
      <c r="Q20" s="45">
        <v>14</v>
      </c>
      <c r="R20" s="46">
        <v>0</v>
      </c>
      <c r="S20" s="45">
        <v>1</v>
      </c>
      <c r="T20" s="8">
        <f t="shared" si="2"/>
        <v>18</v>
      </c>
      <c r="U20" s="2">
        <f t="shared" si="10"/>
        <v>61.5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62</v>
      </c>
      <c r="AE20" s="166" t="s">
        <v>92</v>
      </c>
      <c r="AF20" s="164">
        <f t="shared" si="24"/>
        <v>21</v>
      </c>
      <c r="AG20" s="164">
        <f t="shared" si="25"/>
        <v>44</v>
      </c>
      <c r="AH20" s="164">
        <f t="shared" si="26"/>
        <v>0</v>
      </c>
      <c r="AI20" s="164">
        <f t="shared" si="27"/>
        <v>3</v>
      </c>
      <c r="AJ20" s="165">
        <f t="shared" si="28"/>
        <v>19.5</v>
      </c>
      <c r="AK20" s="165">
        <f t="shared" si="19"/>
        <v>61.5</v>
      </c>
      <c r="AL20" s="166" t="s">
        <v>70</v>
      </c>
      <c r="AM20" s="1">
        <f t="shared" si="29"/>
        <v>10</v>
      </c>
      <c r="AN20" s="1">
        <f t="shared" si="30"/>
        <v>54</v>
      </c>
      <c r="AO20" s="1">
        <f t="shared" si="31"/>
        <v>0</v>
      </c>
      <c r="AP20" s="1">
        <f t="shared" si="32"/>
        <v>1</v>
      </c>
      <c r="AQ20" s="81">
        <f t="shared" si="23"/>
        <v>21.5</v>
      </c>
      <c r="AR20" s="168"/>
      <c r="AS20" s="81"/>
      <c r="AT20" s="81"/>
      <c r="AV20" s="81"/>
    </row>
    <row r="21" spans="1:48" ht="24" customHeight="1" thickBot="1">
      <c r="A21" s="19" t="s">
        <v>28</v>
      </c>
      <c r="B21" s="46">
        <v>7</v>
      </c>
      <c r="C21" s="46">
        <v>16</v>
      </c>
      <c r="D21" s="46">
        <v>0</v>
      </c>
      <c r="E21" s="46">
        <v>0</v>
      </c>
      <c r="F21" s="6">
        <f t="shared" si="0"/>
        <v>19.5</v>
      </c>
      <c r="G21" s="36"/>
      <c r="H21" s="20" t="s">
        <v>25</v>
      </c>
      <c r="I21" s="46">
        <v>5</v>
      </c>
      <c r="J21" s="46">
        <v>13</v>
      </c>
      <c r="K21" s="46">
        <v>0</v>
      </c>
      <c r="L21" s="46">
        <v>0</v>
      </c>
      <c r="M21" s="6">
        <f t="shared" si="1"/>
        <v>15.5</v>
      </c>
      <c r="N21" s="2">
        <f>M18+M19+M20+M21</f>
        <v>58</v>
      </c>
      <c r="O21" s="21" t="s">
        <v>46</v>
      </c>
      <c r="P21" s="47">
        <v>4</v>
      </c>
      <c r="Q21" s="47">
        <v>9</v>
      </c>
      <c r="R21" s="47">
        <v>0</v>
      </c>
      <c r="S21" s="47">
        <v>0</v>
      </c>
      <c r="T21" s="7">
        <f t="shared" si="2"/>
        <v>11</v>
      </c>
      <c r="U21" s="3">
        <f t="shared" si="10"/>
        <v>51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58</v>
      </c>
      <c r="AE21" s="166" t="s">
        <v>71</v>
      </c>
      <c r="AF21" s="164">
        <f t="shared" si="24"/>
        <v>19</v>
      </c>
      <c r="AG21" s="164">
        <f t="shared" si="25"/>
        <v>46</v>
      </c>
      <c r="AH21" s="164">
        <f t="shared" si="26"/>
        <v>0</v>
      </c>
      <c r="AI21" s="164">
        <f t="shared" si="27"/>
        <v>1</v>
      </c>
      <c r="AJ21" s="165">
        <f t="shared" si="28"/>
        <v>19.5</v>
      </c>
      <c r="AK21" s="165">
        <f t="shared" si="19"/>
        <v>51</v>
      </c>
      <c r="AL21" s="166" t="s">
        <v>72</v>
      </c>
      <c r="AM21" s="1">
        <f t="shared" si="29"/>
        <v>11</v>
      </c>
      <c r="AN21" s="1">
        <f t="shared" si="30"/>
        <v>43</v>
      </c>
      <c r="AO21" s="1">
        <f t="shared" si="31"/>
        <v>0</v>
      </c>
      <c r="AP21" s="1">
        <f t="shared" si="32"/>
        <v>1</v>
      </c>
      <c r="AQ21" s="81">
        <f t="shared" si="23"/>
        <v>18</v>
      </c>
      <c r="AR21" s="168"/>
      <c r="AS21" s="81"/>
      <c r="AT21" s="81"/>
      <c r="AV21" s="81"/>
    </row>
    <row r="22" spans="1:48" ht="24" customHeight="1" thickBot="1">
      <c r="A22" s="19" t="s">
        <v>1</v>
      </c>
      <c r="B22" s="46">
        <v>6</v>
      </c>
      <c r="C22" s="46">
        <v>10</v>
      </c>
      <c r="D22" s="46">
        <v>0</v>
      </c>
      <c r="E22" s="46">
        <v>0</v>
      </c>
      <c r="F22" s="6">
        <f t="shared" si="0"/>
        <v>13</v>
      </c>
      <c r="G22" s="2"/>
      <c r="H22" s="21" t="s">
        <v>26</v>
      </c>
      <c r="I22" s="47">
        <v>5</v>
      </c>
      <c r="J22" s="47">
        <v>15</v>
      </c>
      <c r="K22" s="47">
        <v>0</v>
      </c>
      <c r="L22" s="47">
        <v>2</v>
      </c>
      <c r="M22" s="6">
        <f t="shared" si="1"/>
        <v>22.5</v>
      </c>
      <c r="N22" s="3">
        <f>M19+M20+M21+M22</f>
        <v>69.5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69.5</v>
      </c>
      <c r="AE22" s="166" t="s">
        <v>93</v>
      </c>
      <c r="AF22" s="164">
        <f t="shared" si="24"/>
        <v>20</v>
      </c>
      <c r="AG22" s="164">
        <f t="shared" si="25"/>
        <v>52</v>
      </c>
      <c r="AH22" s="164">
        <f t="shared" si="26"/>
        <v>0</v>
      </c>
      <c r="AI22" s="164">
        <f t="shared" si="27"/>
        <v>3</v>
      </c>
      <c r="AJ22" s="165">
        <f t="shared" si="28"/>
        <v>22.5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  <c r="AR22" s="168"/>
      <c r="AS22" s="81"/>
      <c r="AT22" s="168"/>
      <c r="AV22" s="81"/>
    </row>
    <row r="23" spans="1:48" ht="1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56.5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69.5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64</v>
      </c>
      <c r="W23" s="168"/>
      <c r="X23" s="168"/>
      <c r="Y23" s="168"/>
      <c r="Z23" s="168"/>
      <c r="AA23" s="168"/>
      <c r="AB23" s="168"/>
      <c r="AC23" s="168"/>
    </row>
    <row r="24" spans="1:48" ht="15" customHeight="1">
      <c r="A24" s="352"/>
      <c r="B24" s="353"/>
      <c r="C24" s="82" t="s">
        <v>73</v>
      </c>
      <c r="D24" s="86"/>
      <c r="E24" s="86"/>
      <c r="F24" s="87" t="s">
        <v>230</v>
      </c>
      <c r="G24" s="88"/>
      <c r="H24" s="352"/>
      <c r="I24" s="353"/>
      <c r="J24" s="82" t="s">
        <v>73</v>
      </c>
      <c r="K24" s="86"/>
      <c r="L24" s="86"/>
      <c r="M24" s="87" t="s">
        <v>93</v>
      </c>
      <c r="N24" s="88"/>
      <c r="O24" s="352"/>
      <c r="P24" s="353"/>
      <c r="Q24" s="82" t="s">
        <v>73</v>
      </c>
      <c r="R24" s="86"/>
      <c r="S24" s="86"/>
      <c r="T24" s="87" t="s">
        <v>86</v>
      </c>
      <c r="U24" s="88"/>
      <c r="AR24" s="81"/>
    </row>
    <row r="25" spans="1:48" ht="1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  <c r="W25" s="167"/>
    </row>
    <row r="26" spans="1:48" ht="12.75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X26" s="167"/>
      <c r="Y26" s="167"/>
      <c r="Z26" s="167"/>
      <c r="AA26" s="167"/>
      <c r="AB26" s="167"/>
      <c r="AC26" s="167"/>
    </row>
    <row r="27" spans="1:4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8" ht="12.7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4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O8:O9"/>
    <mergeCell ref="N8:N9"/>
    <mergeCell ref="H8:H9"/>
    <mergeCell ref="S6:U6"/>
    <mergeCell ref="I6:K6"/>
    <mergeCell ref="D6:H6"/>
    <mergeCell ref="L6:N6"/>
    <mergeCell ref="P6:R6"/>
    <mergeCell ref="A2:U2"/>
    <mergeCell ref="S5:U5"/>
    <mergeCell ref="E4:H4"/>
    <mergeCell ref="D5:H5"/>
    <mergeCell ref="L5:N5"/>
    <mergeCell ref="I5:K5"/>
    <mergeCell ref="P5:R5"/>
    <mergeCell ref="A6:C6"/>
    <mergeCell ref="A26:E26"/>
    <mergeCell ref="A23:B24"/>
    <mergeCell ref="C23:F23"/>
    <mergeCell ref="A4:C4"/>
    <mergeCell ref="A5:C5"/>
    <mergeCell ref="A8:A9"/>
    <mergeCell ref="W7:X7"/>
    <mergeCell ref="AD7:AE7"/>
    <mergeCell ref="AK7:AL7"/>
    <mergeCell ref="J23:M23"/>
    <mergeCell ref="O23:P24"/>
    <mergeCell ref="U8:U9"/>
    <mergeCell ref="T8:T9"/>
    <mergeCell ref="P8:S8"/>
    <mergeCell ref="I8:L8"/>
    <mergeCell ref="M8:M9"/>
    <mergeCell ref="E7:K7"/>
    <mergeCell ref="B8:E8"/>
    <mergeCell ref="G8:G9"/>
    <mergeCell ref="F8:F9"/>
    <mergeCell ref="H23:I24"/>
    <mergeCell ref="Q23:T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F12" workbookViewId="0">
      <selection activeCell="U13" sqref="U13"/>
    </sheetView>
  </sheetViews>
  <sheetFormatPr baseColWidth="10" defaultColWidth="11.5703125" defaultRowHeight="12.75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" customWidth="1"/>
    <col min="23" max="23" width="16.85546875" hidden="1" customWidth="1"/>
    <col min="24" max="24" width="9.28515625" hidden="1" customWidth="1"/>
    <col min="25" max="25" width="6.28515625" hidden="1" customWidth="1"/>
    <col min="26" max="26" width="3.140625" hidden="1" customWidth="1"/>
    <col min="27" max="27" width="7.8554687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8" t="s">
        <v>54</v>
      </c>
      <c r="B4" s="368"/>
      <c r="C4" s="368"/>
      <c r="D4" s="26"/>
      <c r="E4" s="371" t="str">
        <f>'G-1'!E4:H4</f>
        <v>DE OBRA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66" t="s">
        <v>56</v>
      </c>
      <c r="B5" s="366"/>
      <c r="C5" s="366"/>
      <c r="D5" s="371" t="str">
        <f>'G-1'!D5:H5</f>
        <v>CALLE 81 - CARRERA 69</v>
      </c>
      <c r="E5" s="371"/>
      <c r="F5" s="371"/>
      <c r="G5" s="371"/>
      <c r="H5" s="371"/>
      <c r="I5" s="366" t="s">
        <v>53</v>
      </c>
      <c r="J5" s="366"/>
      <c r="K5" s="366"/>
      <c r="L5" s="372">
        <f>'G-1'!L5:N5</f>
        <v>0</v>
      </c>
      <c r="M5" s="372"/>
      <c r="N5" s="372"/>
      <c r="O5" s="12"/>
      <c r="P5" s="366" t="s">
        <v>57</v>
      </c>
      <c r="Q5" s="366"/>
      <c r="R5" s="366"/>
      <c r="S5" s="370" t="s">
        <v>61</v>
      </c>
      <c r="T5" s="370"/>
      <c r="U5" s="370"/>
    </row>
    <row r="6" spans="1:43" ht="12.75" customHeight="1">
      <c r="A6" s="366" t="s">
        <v>55</v>
      </c>
      <c r="B6" s="366"/>
      <c r="C6" s="366"/>
      <c r="D6" s="376" t="s">
        <v>228</v>
      </c>
      <c r="E6" s="376"/>
      <c r="F6" s="376"/>
      <c r="G6" s="376"/>
      <c r="H6" s="376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f>'G-1'!S6:U6</f>
        <v>42892</v>
      </c>
      <c r="T6" s="373"/>
      <c r="U6" s="373"/>
    </row>
    <row r="7" spans="1:43" ht="11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7:30 - 8:30</v>
      </c>
      <c r="X7" s="346"/>
      <c r="Y7" s="1"/>
      <c r="Z7" s="1"/>
      <c r="AA7" s="1"/>
      <c r="AB7" s="1"/>
      <c r="AC7" s="1"/>
      <c r="AD7" s="346" t="str">
        <f>+'G-Totales'!M24</f>
        <v>12:15 - 13:15</v>
      </c>
      <c r="AE7" s="346"/>
      <c r="AK7" s="346" t="str">
        <f>+'G-Totales'!T24</f>
        <v>16:00 - 17:00</v>
      </c>
      <c r="AL7" s="346"/>
    </row>
    <row r="8" spans="1:43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18" t="s">
        <v>11</v>
      </c>
      <c r="B10" s="46">
        <v>1</v>
      </c>
      <c r="C10" s="46">
        <v>8</v>
      </c>
      <c r="D10" s="46">
        <v>0</v>
      </c>
      <c r="E10" s="46">
        <v>0</v>
      </c>
      <c r="F10" s="6">
        <f t="shared" ref="F10:F22" si="0">B10*0.5+C10*1+D10*2+E10*2.5</f>
        <v>8.5</v>
      </c>
      <c r="G10" s="2"/>
      <c r="H10" s="19" t="s">
        <v>4</v>
      </c>
      <c r="I10" s="46">
        <v>8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13</v>
      </c>
      <c r="N10" s="9">
        <f>F20+F21+F22+M10</f>
        <v>60</v>
      </c>
      <c r="O10" s="19" t="s">
        <v>43</v>
      </c>
      <c r="P10" s="46">
        <v>5</v>
      </c>
      <c r="Q10" s="46">
        <v>14</v>
      </c>
      <c r="R10" s="46">
        <v>0</v>
      </c>
      <c r="S10" s="46">
        <v>0</v>
      </c>
      <c r="T10" s="6">
        <f t="shared" ref="T10:T21" si="2">P10*0.5+Q10*1+R10*2+S10*2.5</f>
        <v>16.5</v>
      </c>
      <c r="U10" s="10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60</v>
      </c>
      <c r="AE10" s="166" t="s">
        <v>74</v>
      </c>
      <c r="AF10" s="164">
        <f>SUM(B20:B22)+I10</f>
        <v>13</v>
      </c>
      <c r="AG10" s="164">
        <f>SUM(C20:C22)+J10</f>
        <v>46</v>
      </c>
      <c r="AH10" s="164">
        <f t="shared" ref="AH10:AI10" si="4">SUM(D20:D22)+K10</f>
        <v>0</v>
      </c>
      <c r="AI10" s="164">
        <f t="shared" si="4"/>
        <v>3</v>
      </c>
      <c r="AJ10" s="165">
        <f>MAX(F20:F22,M10)</f>
        <v>18.5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18" t="s">
        <v>14</v>
      </c>
      <c r="B11" s="46">
        <v>0</v>
      </c>
      <c r="C11" s="46">
        <v>12</v>
      </c>
      <c r="D11" s="46">
        <v>0</v>
      </c>
      <c r="E11" s="46">
        <v>0</v>
      </c>
      <c r="F11" s="6">
        <f t="shared" si="0"/>
        <v>12</v>
      </c>
      <c r="G11" s="2"/>
      <c r="H11" s="19" t="s">
        <v>5</v>
      </c>
      <c r="I11" s="46">
        <v>5</v>
      </c>
      <c r="J11" s="46">
        <v>11</v>
      </c>
      <c r="K11" s="46">
        <v>0</v>
      </c>
      <c r="L11" s="46">
        <v>0</v>
      </c>
      <c r="M11" s="6">
        <f t="shared" si="1"/>
        <v>13.5</v>
      </c>
      <c r="N11" s="9">
        <f>F21+F22+M10+M11</f>
        <v>62</v>
      </c>
      <c r="O11" s="19" t="s">
        <v>44</v>
      </c>
      <c r="P11" s="46">
        <v>10</v>
      </c>
      <c r="Q11" s="46">
        <v>18</v>
      </c>
      <c r="R11" s="46">
        <v>0</v>
      </c>
      <c r="S11" s="46">
        <v>0</v>
      </c>
      <c r="T11" s="6">
        <f t="shared" si="2"/>
        <v>23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62</v>
      </c>
      <c r="AE11" s="166" t="s">
        <v>64</v>
      </c>
      <c r="AF11" s="164">
        <f>SUM(B21:B22)+I10+I11</f>
        <v>17</v>
      </c>
      <c r="AG11" s="164">
        <f t="shared" ref="AG11:AI11" si="6">SUM(C21:C22)+J10+J11</f>
        <v>46</v>
      </c>
      <c r="AH11" s="164">
        <f t="shared" si="6"/>
        <v>0</v>
      </c>
      <c r="AI11" s="164">
        <f t="shared" si="6"/>
        <v>3</v>
      </c>
      <c r="AJ11" s="165">
        <f>MAX(F21:F22,M10,M11)</f>
        <v>18.5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18" t="s">
        <v>17</v>
      </c>
      <c r="B12" s="46">
        <v>1</v>
      </c>
      <c r="C12" s="46">
        <v>14</v>
      </c>
      <c r="D12" s="46">
        <v>0</v>
      </c>
      <c r="E12" s="46">
        <v>0</v>
      </c>
      <c r="F12" s="6">
        <f t="shared" si="0"/>
        <v>14.5</v>
      </c>
      <c r="G12" s="2"/>
      <c r="H12" s="19" t="s">
        <v>6</v>
      </c>
      <c r="I12" s="46">
        <v>5</v>
      </c>
      <c r="J12" s="46">
        <v>7</v>
      </c>
      <c r="K12" s="46">
        <v>0</v>
      </c>
      <c r="L12" s="46">
        <v>0</v>
      </c>
      <c r="M12" s="6">
        <f t="shared" si="1"/>
        <v>9.5</v>
      </c>
      <c r="N12" s="2">
        <f>F22+M10+M11+M12</f>
        <v>54.5</v>
      </c>
      <c r="O12" s="19" t="s">
        <v>32</v>
      </c>
      <c r="P12" s="46">
        <v>8</v>
      </c>
      <c r="Q12" s="46">
        <v>20</v>
      </c>
      <c r="R12" s="46">
        <v>0</v>
      </c>
      <c r="S12" s="46">
        <v>0</v>
      </c>
      <c r="T12" s="6">
        <f t="shared" si="2"/>
        <v>24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54.5</v>
      </c>
      <c r="AE12" s="166" t="s">
        <v>75</v>
      </c>
      <c r="AF12" s="164">
        <f>SUM(I10:I12)+B22</f>
        <v>22</v>
      </c>
      <c r="AG12" s="164">
        <f t="shared" ref="AG12:AI12" si="7">SUM(J10:J12)+C22</f>
        <v>41</v>
      </c>
      <c r="AH12" s="164">
        <f t="shared" si="7"/>
        <v>0</v>
      </c>
      <c r="AI12" s="164">
        <f t="shared" si="7"/>
        <v>1</v>
      </c>
      <c r="AJ12" s="165">
        <f>MAX(M10:M12,F22)</f>
        <v>18.5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18" t="s">
        <v>19</v>
      </c>
      <c r="B13" s="46">
        <v>3</v>
      </c>
      <c r="C13" s="46">
        <v>20</v>
      </c>
      <c r="D13" s="46">
        <v>0</v>
      </c>
      <c r="E13" s="46">
        <v>0</v>
      </c>
      <c r="F13" s="6">
        <f t="shared" si="0"/>
        <v>21.5</v>
      </c>
      <c r="G13" s="2">
        <f t="shared" ref="G13:G19" si="8">F10+F11+F12+F13</f>
        <v>56.5</v>
      </c>
      <c r="H13" s="19" t="s">
        <v>7</v>
      </c>
      <c r="I13" s="46">
        <v>4</v>
      </c>
      <c r="J13" s="46">
        <v>9</v>
      </c>
      <c r="K13" s="46">
        <v>0</v>
      </c>
      <c r="L13" s="46">
        <v>0</v>
      </c>
      <c r="M13" s="6">
        <f t="shared" si="1"/>
        <v>11</v>
      </c>
      <c r="N13" s="2">
        <f t="shared" ref="N13:N18" si="9">M10+M11+M12+M13</f>
        <v>47</v>
      </c>
      <c r="O13" s="19" t="s">
        <v>33</v>
      </c>
      <c r="P13" s="46">
        <v>3</v>
      </c>
      <c r="Q13" s="46">
        <v>19</v>
      </c>
      <c r="R13" s="46">
        <v>0</v>
      </c>
      <c r="S13" s="46">
        <v>0</v>
      </c>
      <c r="T13" s="6">
        <f t="shared" si="2"/>
        <v>20.5</v>
      </c>
      <c r="U13" s="2">
        <f t="shared" ref="U13:U21" si="10">T10+T11+T12+T13</f>
        <v>84</v>
      </c>
      <c r="W13" s="165">
        <f>+G13</f>
        <v>56.5</v>
      </c>
      <c r="X13" s="166" t="s">
        <v>65</v>
      </c>
      <c r="Y13" s="164">
        <f t="shared" ref="Y13:AB19" si="11">SUM(B10:B13)</f>
        <v>5</v>
      </c>
      <c r="Z13" s="164">
        <f t="shared" si="11"/>
        <v>54</v>
      </c>
      <c r="AA13" s="164">
        <f t="shared" si="11"/>
        <v>0</v>
      </c>
      <c r="AB13" s="164">
        <f t="shared" si="11"/>
        <v>0</v>
      </c>
      <c r="AC13" s="81">
        <f t="shared" ref="AC13:AC19" si="12">MAX(F10:F13)</f>
        <v>21.5</v>
      </c>
      <c r="AD13" s="165">
        <f t="shared" si="5"/>
        <v>47</v>
      </c>
      <c r="AE13" s="166" t="s">
        <v>76</v>
      </c>
      <c r="AF13" s="164">
        <f>SUM(I10:I13)</f>
        <v>22</v>
      </c>
      <c r="AG13" s="164">
        <f t="shared" ref="AG13:AI22" si="13">SUM(J10:J13)</f>
        <v>36</v>
      </c>
      <c r="AH13" s="164">
        <f t="shared" si="13"/>
        <v>0</v>
      </c>
      <c r="AI13" s="164">
        <f t="shared" si="13"/>
        <v>0</v>
      </c>
      <c r="AJ13" s="165">
        <f>MAX(M10:M13)</f>
        <v>13.5</v>
      </c>
      <c r="AK13" s="165">
        <f>+U13</f>
        <v>84</v>
      </c>
      <c r="AL13" s="166" t="s">
        <v>77</v>
      </c>
      <c r="AM13" s="1">
        <f>SUM(P10:P13)</f>
        <v>26</v>
      </c>
      <c r="AN13" s="1">
        <f t="shared" ref="AN13:AP21" si="14">SUM(Q10:Q13)</f>
        <v>71</v>
      </c>
      <c r="AO13" s="1">
        <f t="shared" si="14"/>
        <v>0</v>
      </c>
      <c r="AP13" s="1">
        <f t="shared" si="14"/>
        <v>0</v>
      </c>
      <c r="AQ13" s="81">
        <f>MAX(T10:T13)</f>
        <v>24</v>
      </c>
    </row>
    <row r="14" spans="1:43" ht="24" customHeight="1">
      <c r="A14" s="18" t="s">
        <v>21</v>
      </c>
      <c r="B14" s="46">
        <v>4</v>
      </c>
      <c r="C14" s="46">
        <v>11</v>
      </c>
      <c r="D14" s="46">
        <v>0</v>
      </c>
      <c r="E14" s="46">
        <v>0</v>
      </c>
      <c r="F14" s="6">
        <f t="shared" si="0"/>
        <v>13</v>
      </c>
      <c r="G14" s="2">
        <f t="shared" si="8"/>
        <v>61</v>
      </c>
      <c r="H14" s="19" t="s">
        <v>9</v>
      </c>
      <c r="I14" s="46">
        <v>4</v>
      </c>
      <c r="J14" s="46">
        <v>6</v>
      </c>
      <c r="K14" s="46">
        <v>0</v>
      </c>
      <c r="L14" s="46">
        <v>1</v>
      </c>
      <c r="M14" s="6">
        <f t="shared" si="1"/>
        <v>10.5</v>
      </c>
      <c r="N14" s="2">
        <f t="shared" si="9"/>
        <v>44.5</v>
      </c>
      <c r="O14" s="19" t="s">
        <v>29</v>
      </c>
      <c r="P14" s="45">
        <v>3</v>
      </c>
      <c r="Q14" s="45">
        <v>14</v>
      </c>
      <c r="R14" s="45">
        <v>0</v>
      </c>
      <c r="S14" s="45">
        <v>0</v>
      </c>
      <c r="T14" s="6">
        <f t="shared" si="2"/>
        <v>15.5</v>
      </c>
      <c r="U14" s="2">
        <f t="shared" si="10"/>
        <v>83</v>
      </c>
      <c r="W14" s="165">
        <f t="shared" ref="W14:W19" si="15">+G14</f>
        <v>61</v>
      </c>
      <c r="X14" s="166" t="s">
        <v>66</v>
      </c>
      <c r="Y14" s="164">
        <f t="shared" si="11"/>
        <v>8</v>
      </c>
      <c r="Z14" s="164">
        <f t="shared" si="11"/>
        <v>57</v>
      </c>
      <c r="AA14" s="164">
        <f t="shared" si="11"/>
        <v>0</v>
      </c>
      <c r="AB14" s="164">
        <f t="shared" si="11"/>
        <v>0</v>
      </c>
      <c r="AC14" s="81">
        <f t="shared" si="12"/>
        <v>21.5</v>
      </c>
      <c r="AD14" s="165">
        <f t="shared" si="5"/>
        <v>44.5</v>
      </c>
      <c r="AE14" s="166" t="s">
        <v>67</v>
      </c>
      <c r="AF14" s="164">
        <f>SUM(I11:I14)</f>
        <v>18</v>
      </c>
      <c r="AG14" s="164">
        <f t="shared" si="13"/>
        <v>33</v>
      </c>
      <c r="AH14" s="164">
        <f t="shared" si="13"/>
        <v>0</v>
      </c>
      <c r="AI14" s="164">
        <f t="shared" si="13"/>
        <v>1</v>
      </c>
      <c r="AJ14" s="165">
        <f>MAX(M11:M14)</f>
        <v>13.5</v>
      </c>
      <c r="AK14" s="165">
        <f t="shared" ref="AK14:AK21" si="16">+U14</f>
        <v>83</v>
      </c>
      <c r="AL14" s="166" t="s">
        <v>78</v>
      </c>
      <c r="AM14" s="1">
        <f>SUM(P11:P14)</f>
        <v>24</v>
      </c>
      <c r="AN14" s="1">
        <f t="shared" si="14"/>
        <v>71</v>
      </c>
      <c r="AO14" s="1">
        <f t="shared" si="14"/>
        <v>0</v>
      </c>
      <c r="AP14" s="1">
        <f t="shared" si="14"/>
        <v>0</v>
      </c>
      <c r="AQ14" s="81">
        <f t="shared" ref="AQ14:AQ21" si="17">MAX(T11:T14)</f>
        <v>24</v>
      </c>
    </row>
    <row r="15" spans="1:43" ht="24" customHeight="1">
      <c r="A15" s="18" t="s">
        <v>23</v>
      </c>
      <c r="B15" s="46">
        <v>3</v>
      </c>
      <c r="C15" s="46">
        <v>8</v>
      </c>
      <c r="D15" s="46">
        <v>0</v>
      </c>
      <c r="E15" s="46">
        <v>0</v>
      </c>
      <c r="F15" s="6">
        <f t="shared" si="0"/>
        <v>9.5</v>
      </c>
      <c r="G15" s="2">
        <f t="shared" si="8"/>
        <v>58.5</v>
      </c>
      <c r="H15" s="19" t="s">
        <v>12</v>
      </c>
      <c r="I15" s="46">
        <v>4</v>
      </c>
      <c r="J15" s="46">
        <v>7</v>
      </c>
      <c r="K15" s="46">
        <v>0</v>
      </c>
      <c r="L15" s="46">
        <v>0</v>
      </c>
      <c r="M15" s="6">
        <f t="shared" si="1"/>
        <v>9</v>
      </c>
      <c r="N15" s="2">
        <f t="shared" si="9"/>
        <v>40</v>
      </c>
      <c r="O15" s="18" t="s">
        <v>30</v>
      </c>
      <c r="P15" s="46">
        <v>5</v>
      </c>
      <c r="Q15" s="46">
        <v>8</v>
      </c>
      <c r="R15" s="46">
        <v>0</v>
      </c>
      <c r="S15" s="46">
        <v>0</v>
      </c>
      <c r="T15" s="6">
        <f t="shared" si="2"/>
        <v>10.5</v>
      </c>
      <c r="U15" s="2">
        <f t="shared" si="10"/>
        <v>70.5</v>
      </c>
      <c r="W15" s="165">
        <f t="shared" si="15"/>
        <v>58.5</v>
      </c>
      <c r="X15" s="166" t="s">
        <v>79</v>
      </c>
      <c r="Y15" s="164">
        <f t="shared" si="11"/>
        <v>11</v>
      </c>
      <c r="Z15" s="164">
        <f t="shared" si="11"/>
        <v>53</v>
      </c>
      <c r="AA15" s="164">
        <f t="shared" si="11"/>
        <v>0</v>
      </c>
      <c r="AB15" s="164">
        <f t="shared" si="11"/>
        <v>0</v>
      </c>
      <c r="AC15" s="81">
        <f t="shared" si="12"/>
        <v>21.5</v>
      </c>
      <c r="AD15" s="165">
        <f t="shared" si="5"/>
        <v>40</v>
      </c>
      <c r="AE15" s="166" t="s">
        <v>80</v>
      </c>
      <c r="AF15" s="164">
        <f t="shared" ref="AF15:AF22" si="18">SUM(I12:I15)</f>
        <v>17</v>
      </c>
      <c r="AG15" s="164">
        <f t="shared" si="13"/>
        <v>29</v>
      </c>
      <c r="AH15" s="164">
        <f t="shared" si="13"/>
        <v>0</v>
      </c>
      <c r="AI15" s="164">
        <f t="shared" si="13"/>
        <v>1</v>
      </c>
      <c r="AJ15" s="165">
        <f t="shared" ref="AJ15:AJ22" si="19">MAX(M12:M15)</f>
        <v>11</v>
      </c>
      <c r="AK15" s="165">
        <f t="shared" si="16"/>
        <v>70.5</v>
      </c>
      <c r="AL15" s="166" t="s">
        <v>81</v>
      </c>
      <c r="AM15" s="1">
        <f t="shared" ref="AM15:AM21" si="20">SUM(P12:P15)</f>
        <v>19</v>
      </c>
      <c r="AN15" s="1">
        <f t="shared" si="14"/>
        <v>61</v>
      </c>
      <c r="AO15" s="1">
        <f t="shared" si="14"/>
        <v>0</v>
      </c>
      <c r="AP15" s="1">
        <f t="shared" si="14"/>
        <v>0</v>
      </c>
      <c r="AQ15" s="81">
        <f t="shared" si="17"/>
        <v>24</v>
      </c>
    </row>
    <row r="16" spans="1:43" ht="24" customHeight="1">
      <c r="A16" s="18" t="s">
        <v>39</v>
      </c>
      <c r="B16" s="46">
        <v>6</v>
      </c>
      <c r="C16" s="46">
        <v>7</v>
      </c>
      <c r="D16" s="46">
        <v>0</v>
      </c>
      <c r="E16" s="46">
        <v>0</v>
      </c>
      <c r="F16" s="6">
        <f t="shared" si="0"/>
        <v>10</v>
      </c>
      <c r="G16" s="2">
        <f t="shared" si="8"/>
        <v>54</v>
      </c>
      <c r="H16" s="19" t="s">
        <v>15</v>
      </c>
      <c r="I16" s="46">
        <v>5</v>
      </c>
      <c r="J16" s="46">
        <v>6</v>
      </c>
      <c r="K16" s="46">
        <v>0</v>
      </c>
      <c r="L16" s="46">
        <v>0</v>
      </c>
      <c r="M16" s="6">
        <f t="shared" si="1"/>
        <v>8.5</v>
      </c>
      <c r="N16" s="2">
        <f t="shared" si="9"/>
        <v>39</v>
      </c>
      <c r="O16" s="19" t="s">
        <v>8</v>
      </c>
      <c r="P16" s="46">
        <v>5</v>
      </c>
      <c r="Q16" s="46">
        <v>11</v>
      </c>
      <c r="R16" s="46">
        <v>0</v>
      </c>
      <c r="S16" s="46">
        <v>0</v>
      </c>
      <c r="T16" s="6">
        <f t="shared" si="2"/>
        <v>13.5</v>
      </c>
      <c r="U16" s="2">
        <f t="shared" si="10"/>
        <v>60</v>
      </c>
      <c r="W16" s="165">
        <f t="shared" si="15"/>
        <v>54</v>
      </c>
      <c r="X16" s="166" t="s">
        <v>82</v>
      </c>
      <c r="Y16" s="164">
        <f t="shared" si="11"/>
        <v>16</v>
      </c>
      <c r="Z16" s="164">
        <f t="shared" si="11"/>
        <v>46</v>
      </c>
      <c r="AA16" s="164">
        <f t="shared" si="11"/>
        <v>0</v>
      </c>
      <c r="AB16" s="164">
        <f t="shared" si="11"/>
        <v>0</v>
      </c>
      <c r="AC16" s="81">
        <f t="shared" si="12"/>
        <v>21.5</v>
      </c>
      <c r="AD16" s="165">
        <f t="shared" si="5"/>
        <v>39</v>
      </c>
      <c r="AE16" s="166" t="s">
        <v>68</v>
      </c>
      <c r="AF16" s="164">
        <f t="shared" si="18"/>
        <v>17</v>
      </c>
      <c r="AG16" s="164">
        <f t="shared" si="13"/>
        <v>28</v>
      </c>
      <c r="AH16" s="164">
        <f t="shared" si="13"/>
        <v>0</v>
      </c>
      <c r="AI16" s="164">
        <f t="shared" si="13"/>
        <v>1</v>
      </c>
      <c r="AJ16" s="165">
        <f t="shared" si="19"/>
        <v>11</v>
      </c>
      <c r="AK16" s="165">
        <f t="shared" si="16"/>
        <v>60</v>
      </c>
      <c r="AL16" s="166" t="s">
        <v>83</v>
      </c>
      <c r="AM16" s="1">
        <f t="shared" si="20"/>
        <v>16</v>
      </c>
      <c r="AN16" s="1">
        <f t="shared" si="14"/>
        <v>52</v>
      </c>
      <c r="AO16" s="1">
        <f t="shared" si="14"/>
        <v>0</v>
      </c>
      <c r="AP16" s="1">
        <f t="shared" si="14"/>
        <v>0</v>
      </c>
      <c r="AQ16" s="81">
        <f t="shared" si="17"/>
        <v>20.5</v>
      </c>
    </row>
    <row r="17" spans="1:43" ht="24" customHeight="1">
      <c r="A17" s="18" t="s">
        <v>40</v>
      </c>
      <c r="B17" s="46">
        <v>4</v>
      </c>
      <c r="C17" s="46">
        <v>12</v>
      </c>
      <c r="D17" s="46">
        <v>0</v>
      </c>
      <c r="E17" s="46">
        <v>1</v>
      </c>
      <c r="F17" s="6">
        <f t="shared" si="0"/>
        <v>16.5</v>
      </c>
      <c r="G17" s="2">
        <f t="shared" si="8"/>
        <v>49</v>
      </c>
      <c r="H17" s="19" t="s">
        <v>18</v>
      </c>
      <c r="I17" s="46">
        <v>1</v>
      </c>
      <c r="J17" s="46">
        <v>6</v>
      </c>
      <c r="K17" s="46">
        <v>0</v>
      </c>
      <c r="L17" s="46">
        <v>0</v>
      </c>
      <c r="M17" s="6">
        <f t="shared" si="1"/>
        <v>6.5</v>
      </c>
      <c r="N17" s="2">
        <f t="shared" si="9"/>
        <v>34.5</v>
      </c>
      <c r="O17" s="19" t="s">
        <v>10</v>
      </c>
      <c r="P17" s="46">
        <v>1</v>
      </c>
      <c r="Q17" s="46">
        <v>10</v>
      </c>
      <c r="R17" s="46">
        <v>0</v>
      </c>
      <c r="S17" s="46">
        <v>0</v>
      </c>
      <c r="T17" s="6">
        <f t="shared" si="2"/>
        <v>10.5</v>
      </c>
      <c r="U17" s="2">
        <f t="shared" si="10"/>
        <v>50</v>
      </c>
      <c r="W17" s="165">
        <f t="shared" si="15"/>
        <v>49</v>
      </c>
      <c r="X17" s="166" t="s">
        <v>84</v>
      </c>
      <c r="Y17" s="164">
        <f t="shared" si="11"/>
        <v>17</v>
      </c>
      <c r="Z17" s="164">
        <f t="shared" si="11"/>
        <v>38</v>
      </c>
      <c r="AA17" s="164">
        <f t="shared" si="11"/>
        <v>0</v>
      </c>
      <c r="AB17" s="164">
        <f t="shared" si="11"/>
        <v>1</v>
      </c>
      <c r="AC17" s="81">
        <f t="shared" si="12"/>
        <v>16.5</v>
      </c>
      <c r="AD17" s="165">
        <f t="shared" si="5"/>
        <v>34.5</v>
      </c>
      <c r="AE17" s="166" t="s">
        <v>85</v>
      </c>
      <c r="AF17" s="164">
        <f t="shared" si="18"/>
        <v>14</v>
      </c>
      <c r="AG17" s="164">
        <f t="shared" si="13"/>
        <v>25</v>
      </c>
      <c r="AH17" s="164">
        <f t="shared" si="13"/>
        <v>0</v>
      </c>
      <c r="AI17" s="164">
        <f t="shared" si="13"/>
        <v>1</v>
      </c>
      <c r="AJ17" s="165">
        <f t="shared" si="19"/>
        <v>10.5</v>
      </c>
      <c r="AK17" s="165">
        <f t="shared" si="16"/>
        <v>50</v>
      </c>
      <c r="AL17" s="166" t="s">
        <v>86</v>
      </c>
      <c r="AM17" s="1">
        <f t="shared" si="20"/>
        <v>14</v>
      </c>
      <c r="AN17" s="1">
        <f t="shared" si="14"/>
        <v>43</v>
      </c>
      <c r="AO17" s="1">
        <f t="shared" si="14"/>
        <v>0</v>
      </c>
      <c r="AP17" s="1">
        <f t="shared" si="14"/>
        <v>0</v>
      </c>
      <c r="AQ17" s="81">
        <f t="shared" si="17"/>
        <v>15.5</v>
      </c>
    </row>
    <row r="18" spans="1:43" ht="24" customHeight="1">
      <c r="A18" s="18" t="s">
        <v>41</v>
      </c>
      <c r="B18" s="46">
        <v>2</v>
      </c>
      <c r="C18" s="46">
        <v>5</v>
      </c>
      <c r="D18" s="46">
        <v>0</v>
      </c>
      <c r="E18" s="46">
        <v>1</v>
      </c>
      <c r="F18" s="6">
        <f t="shared" si="0"/>
        <v>8.5</v>
      </c>
      <c r="G18" s="2">
        <f t="shared" si="8"/>
        <v>44.5</v>
      </c>
      <c r="H18" s="19" t="s">
        <v>20</v>
      </c>
      <c r="I18" s="46">
        <v>2</v>
      </c>
      <c r="J18" s="46">
        <v>6</v>
      </c>
      <c r="K18" s="46">
        <v>0</v>
      </c>
      <c r="L18" s="46">
        <v>0</v>
      </c>
      <c r="M18" s="6">
        <f t="shared" si="1"/>
        <v>7</v>
      </c>
      <c r="N18" s="2">
        <f t="shared" si="9"/>
        <v>31</v>
      </c>
      <c r="O18" s="19" t="s">
        <v>13</v>
      </c>
      <c r="P18" s="46">
        <v>3</v>
      </c>
      <c r="Q18" s="46">
        <v>18</v>
      </c>
      <c r="R18" s="46">
        <v>0</v>
      </c>
      <c r="S18" s="46">
        <v>1</v>
      </c>
      <c r="T18" s="6">
        <f t="shared" si="2"/>
        <v>22</v>
      </c>
      <c r="U18" s="2">
        <f t="shared" si="10"/>
        <v>56.5</v>
      </c>
      <c r="W18" s="165">
        <f t="shared" si="15"/>
        <v>44.5</v>
      </c>
      <c r="X18" s="166" t="s">
        <v>87</v>
      </c>
      <c r="Y18" s="164">
        <f t="shared" si="11"/>
        <v>15</v>
      </c>
      <c r="Z18" s="164">
        <f t="shared" si="11"/>
        <v>32</v>
      </c>
      <c r="AA18" s="164">
        <f t="shared" si="11"/>
        <v>0</v>
      </c>
      <c r="AB18" s="164">
        <f t="shared" si="11"/>
        <v>2</v>
      </c>
      <c r="AC18" s="81">
        <f t="shared" si="12"/>
        <v>16.5</v>
      </c>
      <c r="AD18" s="165">
        <f t="shared" si="5"/>
        <v>31</v>
      </c>
      <c r="AE18" s="166" t="s">
        <v>88</v>
      </c>
      <c r="AF18" s="164">
        <f t="shared" si="18"/>
        <v>12</v>
      </c>
      <c r="AG18" s="164">
        <f t="shared" si="13"/>
        <v>25</v>
      </c>
      <c r="AH18" s="164">
        <f t="shared" si="13"/>
        <v>0</v>
      </c>
      <c r="AI18" s="164">
        <f t="shared" si="13"/>
        <v>0</v>
      </c>
      <c r="AJ18" s="165">
        <f t="shared" si="19"/>
        <v>9</v>
      </c>
      <c r="AK18" s="165">
        <f t="shared" si="16"/>
        <v>56.5</v>
      </c>
      <c r="AL18" s="166" t="s">
        <v>69</v>
      </c>
      <c r="AM18" s="1">
        <f t="shared" si="20"/>
        <v>14</v>
      </c>
      <c r="AN18" s="1">
        <f t="shared" si="14"/>
        <v>47</v>
      </c>
      <c r="AO18" s="1">
        <f t="shared" si="14"/>
        <v>0</v>
      </c>
      <c r="AP18" s="1">
        <f t="shared" si="14"/>
        <v>1</v>
      </c>
      <c r="AQ18" s="81">
        <f t="shared" si="17"/>
        <v>22</v>
      </c>
    </row>
    <row r="19" spans="1:43" ht="24" customHeight="1" thickBot="1">
      <c r="A19" s="21" t="s">
        <v>42</v>
      </c>
      <c r="B19" s="47">
        <v>5</v>
      </c>
      <c r="C19" s="47">
        <v>10</v>
      </c>
      <c r="D19" s="47">
        <v>0</v>
      </c>
      <c r="E19" s="47">
        <v>0</v>
      </c>
      <c r="F19" s="7">
        <f t="shared" si="0"/>
        <v>12.5</v>
      </c>
      <c r="G19" s="3">
        <f t="shared" si="8"/>
        <v>47.5</v>
      </c>
      <c r="H19" s="20" t="s">
        <v>22</v>
      </c>
      <c r="I19" s="45">
        <v>1</v>
      </c>
      <c r="J19" s="45">
        <v>9</v>
      </c>
      <c r="K19" s="45">
        <v>0</v>
      </c>
      <c r="L19" s="45">
        <v>0</v>
      </c>
      <c r="M19" s="6">
        <f t="shared" si="1"/>
        <v>9.5</v>
      </c>
      <c r="N19" s="2">
        <f>M16+M17+M18+M19</f>
        <v>31.5</v>
      </c>
      <c r="O19" s="19" t="s">
        <v>16</v>
      </c>
      <c r="P19" s="46">
        <v>5</v>
      </c>
      <c r="Q19" s="46">
        <v>15</v>
      </c>
      <c r="R19" s="46">
        <v>0</v>
      </c>
      <c r="S19" s="46">
        <v>0</v>
      </c>
      <c r="T19" s="6">
        <f t="shared" si="2"/>
        <v>17.5</v>
      </c>
      <c r="U19" s="2">
        <f t="shared" si="10"/>
        <v>63.5</v>
      </c>
      <c r="W19" s="165">
        <f t="shared" si="15"/>
        <v>47.5</v>
      </c>
      <c r="X19" s="166" t="s">
        <v>89</v>
      </c>
      <c r="Y19" s="164">
        <f t="shared" si="11"/>
        <v>17</v>
      </c>
      <c r="Z19" s="164">
        <f t="shared" si="11"/>
        <v>34</v>
      </c>
      <c r="AA19" s="164">
        <f t="shared" si="11"/>
        <v>0</v>
      </c>
      <c r="AB19" s="164">
        <f t="shared" si="11"/>
        <v>2</v>
      </c>
      <c r="AC19" s="81">
        <f t="shared" si="12"/>
        <v>16.5</v>
      </c>
      <c r="AD19" s="165">
        <f t="shared" si="5"/>
        <v>31.5</v>
      </c>
      <c r="AE19" s="166" t="s">
        <v>90</v>
      </c>
      <c r="AF19" s="164">
        <f t="shared" si="18"/>
        <v>9</v>
      </c>
      <c r="AG19" s="164">
        <f t="shared" si="13"/>
        <v>27</v>
      </c>
      <c r="AH19" s="164">
        <f t="shared" si="13"/>
        <v>0</v>
      </c>
      <c r="AI19" s="164">
        <f t="shared" si="13"/>
        <v>0</v>
      </c>
      <c r="AJ19" s="165">
        <f t="shared" si="19"/>
        <v>9.5</v>
      </c>
      <c r="AK19" s="165">
        <f t="shared" si="16"/>
        <v>63.5</v>
      </c>
      <c r="AL19" s="166" t="s">
        <v>91</v>
      </c>
      <c r="AM19" s="1">
        <f t="shared" si="20"/>
        <v>14</v>
      </c>
      <c r="AN19" s="1">
        <f t="shared" si="14"/>
        <v>54</v>
      </c>
      <c r="AO19" s="1">
        <f t="shared" si="14"/>
        <v>0</v>
      </c>
      <c r="AP19" s="1">
        <f t="shared" si="14"/>
        <v>1</v>
      </c>
      <c r="AQ19" s="81">
        <f t="shared" si="17"/>
        <v>22</v>
      </c>
    </row>
    <row r="20" spans="1:43" ht="24" customHeight="1">
      <c r="A20" s="19" t="s">
        <v>27</v>
      </c>
      <c r="B20" s="45">
        <v>1</v>
      </c>
      <c r="C20" s="45">
        <v>11</v>
      </c>
      <c r="D20" s="45">
        <v>0</v>
      </c>
      <c r="E20" s="45">
        <v>0</v>
      </c>
      <c r="F20" s="8">
        <f t="shared" si="0"/>
        <v>11.5</v>
      </c>
      <c r="G20" s="35"/>
      <c r="H20" s="19" t="s">
        <v>24</v>
      </c>
      <c r="I20" s="46">
        <v>3</v>
      </c>
      <c r="J20" s="46">
        <v>11</v>
      </c>
      <c r="K20" s="46">
        <v>0</v>
      </c>
      <c r="L20" s="46">
        <v>1</v>
      </c>
      <c r="M20" s="8">
        <f t="shared" si="1"/>
        <v>15</v>
      </c>
      <c r="N20" s="2">
        <f>M17+M18+M19+M20</f>
        <v>38</v>
      </c>
      <c r="O20" s="19" t="s">
        <v>45</v>
      </c>
      <c r="P20" s="45">
        <v>2</v>
      </c>
      <c r="Q20" s="45">
        <v>15</v>
      </c>
      <c r="R20" s="45">
        <v>0</v>
      </c>
      <c r="S20" s="45">
        <v>0</v>
      </c>
      <c r="T20" s="8">
        <f t="shared" si="2"/>
        <v>16</v>
      </c>
      <c r="U20" s="2">
        <f t="shared" si="10"/>
        <v>66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38</v>
      </c>
      <c r="AE20" s="166" t="s">
        <v>92</v>
      </c>
      <c r="AF20" s="164">
        <f t="shared" si="18"/>
        <v>7</v>
      </c>
      <c r="AG20" s="164">
        <f t="shared" si="13"/>
        <v>32</v>
      </c>
      <c r="AH20" s="164">
        <f t="shared" si="13"/>
        <v>0</v>
      </c>
      <c r="AI20" s="164">
        <f t="shared" si="13"/>
        <v>1</v>
      </c>
      <c r="AJ20" s="165">
        <f t="shared" si="19"/>
        <v>15</v>
      </c>
      <c r="AK20" s="165">
        <f t="shared" si="16"/>
        <v>66</v>
      </c>
      <c r="AL20" s="166" t="s">
        <v>70</v>
      </c>
      <c r="AM20" s="1">
        <f t="shared" si="20"/>
        <v>11</v>
      </c>
      <c r="AN20" s="1">
        <f t="shared" si="14"/>
        <v>58</v>
      </c>
      <c r="AO20" s="1">
        <f t="shared" si="14"/>
        <v>0</v>
      </c>
      <c r="AP20" s="1">
        <f t="shared" si="14"/>
        <v>1</v>
      </c>
      <c r="AQ20" s="81">
        <f t="shared" si="17"/>
        <v>22</v>
      </c>
    </row>
    <row r="21" spans="1:43" ht="24" customHeight="1" thickBot="1">
      <c r="A21" s="19" t="s">
        <v>28</v>
      </c>
      <c r="B21" s="46">
        <v>0</v>
      </c>
      <c r="C21" s="46">
        <v>12</v>
      </c>
      <c r="D21" s="46">
        <v>0</v>
      </c>
      <c r="E21" s="46">
        <v>2</v>
      </c>
      <c r="F21" s="6">
        <f t="shared" si="0"/>
        <v>17</v>
      </c>
      <c r="G21" s="36"/>
      <c r="H21" s="20" t="s">
        <v>25</v>
      </c>
      <c r="I21" s="46">
        <v>3</v>
      </c>
      <c r="J21" s="46">
        <v>11</v>
      </c>
      <c r="K21" s="46">
        <v>0</v>
      </c>
      <c r="L21" s="46">
        <v>0</v>
      </c>
      <c r="M21" s="6">
        <f t="shared" si="1"/>
        <v>12.5</v>
      </c>
      <c r="N21" s="2">
        <f>M18+M19+M20+M21</f>
        <v>44</v>
      </c>
      <c r="O21" s="21" t="s">
        <v>46</v>
      </c>
      <c r="P21" s="47">
        <v>2</v>
      </c>
      <c r="Q21" s="47">
        <v>11</v>
      </c>
      <c r="R21" s="47">
        <v>0</v>
      </c>
      <c r="S21" s="47">
        <v>0</v>
      </c>
      <c r="T21" s="7">
        <f t="shared" si="2"/>
        <v>12</v>
      </c>
      <c r="U21" s="3">
        <f t="shared" si="10"/>
        <v>67.5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44</v>
      </c>
      <c r="AE21" s="166" t="s">
        <v>71</v>
      </c>
      <c r="AF21" s="164">
        <f t="shared" si="18"/>
        <v>9</v>
      </c>
      <c r="AG21" s="164">
        <f t="shared" si="13"/>
        <v>37</v>
      </c>
      <c r="AH21" s="164">
        <f t="shared" si="13"/>
        <v>0</v>
      </c>
      <c r="AI21" s="164">
        <f t="shared" si="13"/>
        <v>1</v>
      </c>
      <c r="AJ21" s="165">
        <f t="shared" si="19"/>
        <v>15</v>
      </c>
      <c r="AK21" s="165">
        <f t="shared" si="16"/>
        <v>67.5</v>
      </c>
      <c r="AL21" s="166" t="s">
        <v>72</v>
      </c>
      <c r="AM21" s="1">
        <f t="shared" si="20"/>
        <v>12</v>
      </c>
      <c r="AN21" s="1">
        <f t="shared" si="14"/>
        <v>59</v>
      </c>
      <c r="AO21" s="1">
        <f t="shared" si="14"/>
        <v>0</v>
      </c>
      <c r="AP21" s="1">
        <f t="shared" si="14"/>
        <v>1</v>
      </c>
      <c r="AQ21" s="81">
        <f t="shared" si="17"/>
        <v>22</v>
      </c>
    </row>
    <row r="22" spans="1:43" ht="24" customHeight="1" thickBot="1">
      <c r="A22" s="19" t="s">
        <v>1</v>
      </c>
      <c r="B22" s="46">
        <v>4</v>
      </c>
      <c r="C22" s="46">
        <v>14</v>
      </c>
      <c r="D22" s="46">
        <v>0</v>
      </c>
      <c r="E22" s="46">
        <v>1</v>
      </c>
      <c r="F22" s="6">
        <f t="shared" si="0"/>
        <v>18.5</v>
      </c>
      <c r="G22" s="2"/>
      <c r="H22" s="21" t="s">
        <v>26</v>
      </c>
      <c r="I22" s="47">
        <v>5</v>
      </c>
      <c r="J22" s="47">
        <v>11</v>
      </c>
      <c r="K22" s="47">
        <v>0</v>
      </c>
      <c r="L22" s="47">
        <v>1</v>
      </c>
      <c r="M22" s="6">
        <f t="shared" si="1"/>
        <v>16</v>
      </c>
      <c r="N22" s="3">
        <f>M19+M20+M21+M22</f>
        <v>53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53</v>
      </c>
      <c r="AE22" s="166" t="s">
        <v>93</v>
      </c>
      <c r="AF22" s="164">
        <f t="shared" si="18"/>
        <v>12</v>
      </c>
      <c r="AG22" s="164">
        <f t="shared" si="13"/>
        <v>42</v>
      </c>
      <c r="AH22" s="164">
        <f t="shared" si="13"/>
        <v>0</v>
      </c>
      <c r="AI22" s="164">
        <f t="shared" si="13"/>
        <v>2</v>
      </c>
      <c r="AJ22" s="165">
        <f t="shared" si="19"/>
        <v>16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61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62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84</v>
      </c>
      <c r="AB23" s="1"/>
      <c r="AC23" s="1"/>
    </row>
    <row r="24" spans="1:43" ht="13.5" customHeight="1">
      <c r="A24" s="352"/>
      <c r="B24" s="353"/>
      <c r="C24" s="82" t="s">
        <v>73</v>
      </c>
      <c r="D24" s="86"/>
      <c r="E24" s="86"/>
      <c r="F24" s="87" t="s">
        <v>66</v>
      </c>
      <c r="G24" s="88"/>
      <c r="H24" s="352"/>
      <c r="I24" s="353"/>
      <c r="J24" s="82" t="s">
        <v>73</v>
      </c>
      <c r="K24" s="86"/>
      <c r="L24" s="86"/>
      <c r="M24" s="87" t="s">
        <v>64</v>
      </c>
      <c r="N24" s="88"/>
      <c r="O24" s="352"/>
      <c r="P24" s="353"/>
      <c r="Q24" s="82" t="s">
        <v>73</v>
      </c>
      <c r="R24" s="86"/>
      <c r="S24" s="86"/>
      <c r="T24" s="87" t="s">
        <v>77</v>
      </c>
      <c r="U24" s="88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W7:X7"/>
    <mergeCell ref="AD7:AE7"/>
    <mergeCell ref="AK7:AL7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F12" workbookViewId="0">
      <selection activeCell="U13" sqref="U13"/>
    </sheetView>
  </sheetViews>
  <sheetFormatPr baseColWidth="10" defaultColWidth="11.5703125" defaultRowHeight="12.75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2" width="11" customWidth="1"/>
    <col min="23" max="23" width="10.7109375" hidden="1" customWidth="1"/>
    <col min="24" max="24" width="8.140625" hidden="1" customWidth="1"/>
    <col min="25" max="25" width="10.5703125" hidden="1" customWidth="1"/>
    <col min="26" max="26" width="10.140625" hidden="1" customWidth="1"/>
    <col min="27" max="27" width="3.5703125" hidden="1" customWidth="1"/>
    <col min="28" max="29" width="10.140625" hidden="1" customWidth="1"/>
    <col min="30" max="43" width="11.5703125" style="1" hidden="1" customWidth="1"/>
    <col min="44" max="16384" width="11.5703125" style="1"/>
  </cols>
  <sheetData>
    <row r="1" spans="1:43" ht="21.75" customHeight="1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43" ht="15.75" customHeight="1">
      <c r="A2" s="396" t="s">
        <v>38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</row>
    <row r="3" spans="1:43" ht="7.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43" ht="12.75" customHeight="1">
      <c r="A4" s="394" t="s">
        <v>54</v>
      </c>
      <c r="B4" s="394"/>
      <c r="C4" s="394"/>
      <c r="D4" s="51"/>
      <c r="E4" s="397" t="str">
        <f>'G-1'!E4:H4</f>
        <v>DE OBRA</v>
      </c>
      <c r="F4" s="397"/>
      <c r="G4" s="397"/>
      <c r="H4" s="3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43" ht="12.75" customHeight="1">
      <c r="A5" s="395" t="s">
        <v>56</v>
      </c>
      <c r="B5" s="395"/>
      <c r="C5" s="395"/>
      <c r="D5" s="397" t="str">
        <f>'G-1'!D5:H5</f>
        <v>CALLE 81 - CARRERA 69</v>
      </c>
      <c r="E5" s="397"/>
      <c r="F5" s="397"/>
      <c r="G5" s="397"/>
      <c r="H5" s="397"/>
      <c r="I5" s="395" t="s">
        <v>53</v>
      </c>
      <c r="J5" s="395"/>
      <c r="K5" s="395"/>
      <c r="L5" s="372">
        <f>'G-1'!L5:N5</f>
        <v>0</v>
      </c>
      <c r="M5" s="372"/>
      <c r="N5" s="372"/>
      <c r="O5" s="50"/>
      <c r="P5" s="395" t="s">
        <v>57</v>
      </c>
      <c r="Q5" s="395"/>
      <c r="R5" s="395"/>
      <c r="S5" s="372" t="s">
        <v>135</v>
      </c>
      <c r="T5" s="372"/>
      <c r="U5" s="372"/>
    </row>
    <row r="6" spans="1:43" ht="12.75" customHeight="1">
      <c r="A6" s="395" t="s">
        <v>55</v>
      </c>
      <c r="B6" s="395"/>
      <c r="C6" s="395"/>
      <c r="D6" s="376" t="s">
        <v>231</v>
      </c>
      <c r="E6" s="376"/>
      <c r="F6" s="376"/>
      <c r="G6" s="376"/>
      <c r="H6" s="376"/>
      <c r="I6" s="395" t="s">
        <v>59</v>
      </c>
      <c r="J6" s="395"/>
      <c r="K6" s="395"/>
      <c r="L6" s="399">
        <v>1</v>
      </c>
      <c r="M6" s="399"/>
      <c r="N6" s="399"/>
      <c r="O6" s="54"/>
      <c r="P6" s="395" t="s">
        <v>58</v>
      </c>
      <c r="Q6" s="395"/>
      <c r="R6" s="395"/>
      <c r="S6" s="398">
        <f>'G-1'!S6:U6</f>
        <v>42892</v>
      </c>
      <c r="T6" s="398"/>
      <c r="U6" s="398"/>
    </row>
    <row r="7" spans="1:43" ht="12.75" customHeight="1">
      <c r="A7" s="55"/>
      <c r="B7" s="49"/>
      <c r="C7" s="49"/>
      <c r="D7" s="49"/>
      <c r="E7" s="400"/>
      <c r="F7" s="400"/>
      <c r="G7" s="400"/>
      <c r="H7" s="400"/>
      <c r="I7" s="400"/>
      <c r="J7" s="400"/>
      <c r="K7" s="400"/>
      <c r="L7" s="50"/>
      <c r="M7" s="50"/>
      <c r="N7" s="56"/>
      <c r="O7" s="50"/>
      <c r="P7" s="50"/>
      <c r="Q7" s="50"/>
      <c r="R7" s="50"/>
      <c r="S7" s="50"/>
      <c r="T7" s="50"/>
      <c r="U7" s="50"/>
      <c r="W7" s="346" t="str">
        <f>+'G-Totales'!F24</f>
        <v>7:30 - 8:30</v>
      </c>
      <c r="X7" s="346"/>
      <c r="Y7" s="1"/>
      <c r="Z7" s="1"/>
      <c r="AA7" s="1"/>
      <c r="AB7" s="1"/>
      <c r="AC7" s="1"/>
      <c r="AD7" s="346" t="str">
        <f>+'G-Totales'!M24</f>
        <v>12:15 - 13:15</v>
      </c>
      <c r="AE7" s="346"/>
      <c r="AK7" s="346" t="str">
        <f>+'G-Totales'!T24</f>
        <v>16:00 - 17:00</v>
      </c>
      <c r="AL7" s="346"/>
    </row>
    <row r="8" spans="1:43" ht="12" customHeight="1">
      <c r="A8" s="384" t="s">
        <v>36</v>
      </c>
      <c r="B8" s="386" t="s">
        <v>34</v>
      </c>
      <c r="C8" s="387"/>
      <c r="D8" s="387"/>
      <c r="E8" s="388"/>
      <c r="F8" s="384" t="s">
        <v>35</v>
      </c>
      <c r="G8" s="384" t="s">
        <v>37</v>
      </c>
      <c r="H8" s="384" t="s">
        <v>36</v>
      </c>
      <c r="I8" s="386" t="s">
        <v>34</v>
      </c>
      <c r="J8" s="387"/>
      <c r="K8" s="387"/>
      <c r="L8" s="388"/>
      <c r="M8" s="384" t="s">
        <v>35</v>
      </c>
      <c r="N8" s="384" t="s">
        <v>37</v>
      </c>
      <c r="O8" s="384" t="s">
        <v>36</v>
      </c>
      <c r="P8" s="386" t="s">
        <v>34</v>
      </c>
      <c r="Q8" s="387"/>
      <c r="R8" s="387"/>
      <c r="S8" s="388"/>
      <c r="T8" s="384" t="s">
        <v>35</v>
      </c>
      <c r="U8" s="38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85"/>
      <c r="B9" s="57" t="s">
        <v>52</v>
      </c>
      <c r="C9" s="57" t="s">
        <v>0</v>
      </c>
      <c r="D9" s="57" t="s">
        <v>2</v>
      </c>
      <c r="E9" s="58" t="s">
        <v>3</v>
      </c>
      <c r="F9" s="385"/>
      <c r="G9" s="385"/>
      <c r="H9" s="385"/>
      <c r="I9" s="59" t="s">
        <v>52</v>
      </c>
      <c r="J9" s="59" t="s">
        <v>0</v>
      </c>
      <c r="K9" s="57" t="s">
        <v>2</v>
      </c>
      <c r="L9" s="58" t="s">
        <v>3</v>
      </c>
      <c r="M9" s="385"/>
      <c r="N9" s="385"/>
      <c r="O9" s="385"/>
      <c r="P9" s="59" t="s">
        <v>52</v>
      </c>
      <c r="Q9" s="59" t="s">
        <v>0</v>
      </c>
      <c r="R9" s="57" t="s">
        <v>2</v>
      </c>
      <c r="S9" s="58" t="s">
        <v>3</v>
      </c>
      <c r="T9" s="385"/>
      <c r="U9" s="385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60" t="s">
        <v>11</v>
      </c>
      <c r="B10" s="61">
        <v>0</v>
      </c>
      <c r="C10" s="61">
        <v>12</v>
      </c>
      <c r="D10" s="61">
        <v>0</v>
      </c>
      <c r="E10" s="61">
        <v>0</v>
      </c>
      <c r="F10" s="62">
        <f t="shared" ref="F10:F22" si="0">B10*0.5+C10*1+D10*2+E10*2.5</f>
        <v>12</v>
      </c>
      <c r="G10" s="63"/>
      <c r="H10" s="64" t="s">
        <v>4</v>
      </c>
      <c r="I10" s="46">
        <v>5</v>
      </c>
      <c r="J10" s="46">
        <v>7</v>
      </c>
      <c r="K10" s="46">
        <v>0</v>
      </c>
      <c r="L10" s="46">
        <v>0</v>
      </c>
      <c r="M10" s="62">
        <f t="shared" ref="M10:M22" si="1">I10*0.5+J10*1+K10*2+L10*2.5</f>
        <v>9.5</v>
      </c>
      <c r="N10" s="65">
        <f>F20+F21+F22+M10</f>
        <v>47.5</v>
      </c>
      <c r="O10" s="64" t="s">
        <v>43</v>
      </c>
      <c r="P10" s="46">
        <v>1</v>
      </c>
      <c r="Q10" s="46">
        <v>7</v>
      </c>
      <c r="R10" s="46">
        <v>0</v>
      </c>
      <c r="S10" s="46">
        <v>0</v>
      </c>
      <c r="T10" s="62">
        <f t="shared" ref="T10:T21" si="2">P10*0.5+Q10*1+R10*2+S10*2.5</f>
        <v>7.5</v>
      </c>
      <c r="U10" s="66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3">AR10</f>
        <v>0</v>
      </c>
      <c r="AD10" s="165">
        <f>+N10</f>
        <v>47.5</v>
      </c>
      <c r="AE10" s="166" t="s">
        <v>74</v>
      </c>
      <c r="AF10" s="164">
        <f>SUM(B20:B22)+I10</f>
        <v>15</v>
      </c>
      <c r="AG10" s="164">
        <f>SUM(C20:C22)+J10</f>
        <v>40</v>
      </c>
      <c r="AH10" s="164">
        <f t="shared" ref="AH10:AI10" si="4">SUM(D20:D22)+K10</f>
        <v>0</v>
      </c>
      <c r="AI10" s="164">
        <f t="shared" si="4"/>
        <v>0</v>
      </c>
      <c r="AJ10" s="165">
        <f>MAX(F20:F22,M10)</f>
        <v>14.5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60" t="s">
        <v>14</v>
      </c>
      <c r="B11" s="61">
        <v>2</v>
      </c>
      <c r="C11" s="61">
        <v>13</v>
      </c>
      <c r="D11" s="61">
        <v>0</v>
      </c>
      <c r="E11" s="61">
        <v>0</v>
      </c>
      <c r="F11" s="62">
        <f t="shared" si="0"/>
        <v>14</v>
      </c>
      <c r="G11" s="63"/>
      <c r="H11" s="64" t="s">
        <v>5</v>
      </c>
      <c r="I11" s="46">
        <v>4</v>
      </c>
      <c r="J11" s="46">
        <v>3</v>
      </c>
      <c r="K11" s="46">
        <v>0</v>
      </c>
      <c r="L11" s="46">
        <v>0</v>
      </c>
      <c r="M11" s="62">
        <f t="shared" si="1"/>
        <v>5</v>
      </c>
      <c r="N11" s="65">
        <f>F21+F22+M10+M11</f>
        <v>40.5</v>
      </c>
      <c r="O11" s="64" t="s">
        <v>44</v>
      </c>
      <c r="P11" s="46">
        <v>2</v>
      </c>
      <c r="Q11" s="46">
        <v>5</v>
      </c>
      <c r="R11" s="46">
        <v>0</v>
      </c>
      <c r="S11" s="46">
        <v>0</v>
      </c>
      <c r="T11" s="62">
        <f t="shared" si="2"/>
        <v>6</v>
      </c>
      <c r="U11" s="63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3"/>
        <v>0</v>
      </c>
      <c r="AD11" s="165">
        <f t="shared" ref="AD11:AD22" si="5">+N11</f>
        <v>40.5</v>
      </c>
      <c r="AE11" s="166" t="s">
        <v>64</v>
      </c>
      <c r="AF11" s="164">
        <f>SUM(B21:B22)+I10+I11</f>
        <v>17</v>
      </c>
      <c r="AG11" s="164">
        <f t="shared" ref="AG11:AI11" si="6">SUM(C21:C22)+J10+J11</f>
        <v>32</v>
      </c>
      <c r="AH11" s="164">
        <f t="shared" si="6"/>
        <v>0</v>
      </c>
      <c r="AI11" s="164">
        <f t="shared" si="6"/>
        <v>0</v>
      </c>
      <c r="AJ11" s="165">
        <f>MAX(F21:F22,M10,M11)</f>
        <v>14.5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60" t="s">
        <v>17</v>
      </c>
      <c r="B12" s="61">
        <v>0</v>
      </c>
      <c r="C12" s="61">
        <v>15</v>
      </c>
      <c r="D12" s="61">
        <v>0</v>
      </c>
      <c r="E12" s="61">
        <v>1</v>
      </c>
      <c r="F12" s="62">
        <f t="shared" si="0"/>
        <v>17.5</v>
      </c>
      <c r="G12" s="63"/>
      <c r="H12" s="64" t="s">
        <v>6</v>
      </c>
      <c r="I12" s="46">
        <v>2</v>
      </c>
      <c r="J12" s="46">
        <v>8</v>
      </c>
      <c r="K12" s="46">
        <v>0</v>
      </c>
      <c r="L12" s="46">
        <v>0</v>
      </c>
      <c r="M12" s="62">
        <f t="shared" si="1"/>
        <v>9</v>
      </c>
      <c r="N12" s="63">
        <f>F22+M10+M11+M12</f>
        <v>35</v>
      </c>
      <c r="O12" s="64" t="s">
        <v>32</v>
      </c>
      <c r="P12" s="46">
        <v>1</v>
      </c>
      <c r="Q12" s="46">
        <v>3</v>
      </c>
      <c r="R12" s="46">
        <v>0</v>
      </c>
      <c r="S12" s="46">
        <v>0</v>
      </c>
      <c r="T12" s="62">
        <f t="shared" si="2"/>
        <v>3.5</v>
      </c>
      <c r="U12" s="63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3"/>
        <v>0</v>
      </c>
      <c r="AD12" s="165">
        <f t="shared" si="5"/>
        <v>35</v>
      </c>
      <c r="AE12" s="166" t="s">
        <v>75</v>
      </c>
      <c r="AF12" s="164">
        <f>SUM(I10:I12)+B22</f>
        <v>16</v>
      </c>
      <c r="AG12" s="164">
        <f t="shared" ref="AG12:AI12" si="7">SUM(J10:J12)+C22</f>
        <v>27</v>
      </c>
      <c r="AH12" s="164">
        <f t="shared" si="7"/>
        <v>0</v>
      </c>
      <c r="AI12" s="164">
        <f t="shared" si="7"/>
        <v>0</v>
      </c>
      <c r="AJ12" s="165">
        <f>MAX(M10:M12,F22)</f>
        <v>11.5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60" t="s">
        <v>19</v>
      </c>
      <c r="B13" s="61">
        <v>3</v>
      </c>
      <c r="C13" s="61">
        <v>8</v>
      </c>
      <c r="D13" s="61">
        <v>0</v>
      </c>
      <c r="E13" s="61">
        <v>0</v>
      </c>
      <c r="F13" s="62">
        <f t="shared" si="0"/>
        <v>9.5</v>
      </c>
      <c r="G13" s="63">
        <f t="shared" ref="G13:G19" si="8">F10+F11+F12+F13</f>
        <v>53</v>
      </c>
      <c r="H13" s="64" t="s">
        <v>7</v>
      </c>
      <c r="I13" s="46">
        <v>4</v>
      </c>
      <c r="J13" s="46">
        <v>9</v>
      </c>
      <c r="K13" s="46">
        <v>0</v>
      </c>
      <c r="L13" s="46">
        <v>0</v>
      </c>
      <c r="M13" s="62">
        <f t="shared" si="1"/>
        <v>11</v>
      </c>
      <c r="N13" s="63">
        <f t="shared" ref="N13:N18" si="9">M10+M11+M12+M13</f>
        <v>34.5</v>
      </c>
      <c r="O13" s="64" t="s">
        <v>33</v>
      </c>
      <c r="P13" s="46">
        <v>4</v>
      </c>
      <c r="Q13" s="46">
        <v>7</v>
      </c>
      <c r="R13" s="46">
        <v>0</v>
      </c>
      <c r="S13" s="46">
        <v>0</v>
      </c>
      <c r="T13" s="62">
        <f t="shared" si="2"/>
        <v>9</v>
      </c>
      <c r="U13" s="63">
        <f t="shared" ref="U13:U21" si="10">T10+T11+T12+T13</f>
        <v>26</v>
      </c>
      <c r="W13" s="165">
        <f>+G13</f>
        <v>53</v>
      </c>
      <c r="X13" s="166" t="s">
        <v>65</v>
      </c>
      <c r="Y13" s="164">
        <f t="shared" ref="Y13:AB19" si="11">SUM(B10:B13)</f>
        <v>5</v>
      </c>
      <c r="Z13" s="164">
        <f t="shared" si="11"/>
        <v>48</v>
      </c>
      <c r="AA13" s="164">
        <f t="shared" si="11"/>
        <v>0</v>
      </c>
      <c r="AB13" s="164">
        <f t="shared" si="11"/>
        <v>1</v>
      </c>
      <c r="AC13" s="81">
        <f t="shared" ref="AC13:AC19" si="12">MAX(F10:F13)</f>
        <v>17.5</v>
      </c>
      <c r="AD13" s="165">
        <f t="shared" si="5"/>
        <v>34.5</v>
      </c>
      <c r="AE13" s="166" t="s">
        <v>76</v>
      </c>
      <c r="AF13" s="164">
        <f>SUM(I10:I13)</f>
        <v>15</v>
      </c>
      <c r="AG13" s="164">
        <f t="shared" ref="AG13:AI22" si="13">SUM(J10:J13)</f>
        <v>27</v>
      </c>
      <c r="AH13" s="164">
        <f t="shared" si="13"/>
        <v>0</v>
      </c>
      <c r="AI13" s="164">
        <f t="shared" si="13"/>
        <v>0</v>
      </c>
      <c r="AJ13" s="165">
        <f>MAX(M10:M13)</f>
        <v>11</v>
      </c>
      <c r="AK13" s="165">
        <f>+U13</f>
        <v>26</v>
      </c>
      <c r="AL13" s="166" t="s">
        <v>77</v>
      </c>
      <c r="AM13" s="1">
        <f>SUM(P10:P13)</f>
        <v>8</v>
      </c>
      <c r="AN13" s="1">
        <f t="shared" ref="AN13:AP21" si="14">SUM(Q10:Q13)</f>
        <v>22</v>
      </c>
      <c r="AO13" s="1">
        <f t="shared" si="14"/>
        <v>0</v>
      </c>
      <c r="AP13" s="1">
        <f t="shared" si="14"/>
        <v>0</v>
      </c>
      <c r="AQ13" s="81">
        <f>MAX(T10:T13)</f>
        <v>9</v>
      </c>
    </row>
    <row r="14" spans="1:43" ht="24" customHeight="1">
      <c r="A14" s="60" t="s">
        <v>21</v>
      </c>
      <c r="B14" s="61">
        <v>0</v>
      </c>
      <c r="C14" s="61">
        <v>6</v>
      </c>
      <c r="D14" s="61">
        <v>0</v>
      </c>
      <c r="E14" s="61">
        <v>0</v>
      </c>
      <c r="F14" s="62">
        <f t="shared" si="0"/>
        <v>6</v>
      </c>
      <c r="G14" s="63">
        <f t="shared" si="8"/>
        <v>47</v>
      </c>
      <c r="H14" s="64" t="s">
        <v>9</v>
      </c>
      <c r="I14" s="46">
        <v>3</v>
      </c>
      <c r="J14" s="46">
        <v>7</v>
      </c>
      <c r="K14" s="46">
        <v>0</v>
      </c>
      <c r="L14" s="46">
        <v>0</v>
      </c>
      <c r="M14" s="62">
        <f t="shared" si="1"/>
        <v>8.5</v>
      </c>
      <c r="N14" s="63">
        <f t="shared" si="9"/>
        <v>33.5</v>
      </c>
      <c r="O14" s="64" t="s">
        <v>29</v>
      </c>
      <c r="P14" s="45">
        <v>4</v>
      </c>
      <c r="Q14" s="45">
        <v>5</v>
      </c>
      <c r="R14" s="45">
        <v>0</v>
      </c>
      <c r="S14" s="45">
        <v>0</v>
      </c>
      <c r="T14" s="62">
        <f t="shared" si="2"/>
        <v>7</v>
      </c>
      <c r="U14" s="63">
        <f t="shared" si="10"/>
        <v>25.5</v>
      </c>
      <c r="W14" s="165">
        <f t="shared" ref="W14:W19" si="15">+G14</f>
        <v>47</v>
      </c>
      <c r="X14" s="166" t="s">
        <v>66</v>
      </c>
      <c r="Y14" s="164">
        <f t="shared" si="11"/>
        <v>5</v>
      </c>
      <c r="Z14" s="164">
        <f t="shared" si="11"/>
        <v>42</v>
      </c>
      <c r="AA14" s="164">
        <f t="shared" si="11"/>
        <v>0</v>
      </c>
      <c r="AB14" s="164">
        <f t="shared" si="11"/>
        <v>1</v>
      </c>
      <c r="AC14" s="81">
        <f t="shared" si="12"/>
        <v>17.5</v>
      </c>
      <c r="AD14" s="165">
        <f t="shared" si="5"/>
        <v>33.5</v>
      </c>
      <c r="AE14" s="166" t="s">
        <v>67</v>
      </c>
      <c r="AF14" s="164">
        <f>SUM(I11:I14)</f>
        <v>13</v>
      </c>
      <c r="AG14" s="164">
        <f t="shared" si="13"/>
        <v>27</v>
      </c>
      <c r="AH14" s="164">
        <f t="shared" si="13"/>
        <v>0</v>
      </c>
      <c r="AI14" s="164">
        <f t="shared" si="13"/>
        <v>0</v>
      </c>
      <c r="AJ14" s="165">
        <f>MAX(M11:M14)</f>
        <v>11</v>
      </c>
      <c r="AK14" s="165">
        <f t="shared" ref="AK14:AK21" si="16">+U14</f>
        <v>25.5</v>
      </c>
      <c r="AL14" s="166" t="s">
        <v>78</v>
      </c>
      <c r="AM14" s="1">
        <f>SUM(P11:P14)</f>
        <v>11</v>
      </c>
      <c r="AN14" s="1">
        <f t="shared" si="14"/>
        <v>20</v>
      </c>
      <c r="AO14" s="1">
        <f t="shared" si="14"/>
        <v>0</v>
      </c>
      <c r="AP14" s="1">
        <f t="shared" si="14"/>
        <v>0</v>
      </c>
      <c r="AQ14" s="81">
        <f t="shared" ref="AQ14:AQ21" si="17">MAX(T11:T14)</f>
        <v>9</v>
      </c>
    </row>
    <row r="15" spans="1:43" ht="24" customHeight="1">
      <c r="A15" s="60" t="s">
        <v>23</v>
      </c>
      <c r="B15" s="61">
        <v>0</v>
      </c>
      <c r="C15" s="61">
        <v>2</v>
      </c>
      <c r="D15" s="61">
        <v>0</v>
      </c>
      <c r="E15" s="61">
        <v>0</v>
      </c>
      <c r="F15" s="62">
        <f t="shared" si="0"/>
        <v>2</v>
      </c>
      <c r="G15" s="63">
        <f t="shared" si="8"/>
        <v>35</v>
      </c>
      <c r="H15" s="64" t="s">
        <v>12</v>
      </c>
      <c r="I15" s="46">
        <v>3</v>
      </c>
      <c r="J15" s="46">
        <v>9</v>
      </c>
      <c r="K15" s="46">
        <v>0</v>
      </c>
      <c r="L15" s="46">
        <v>0</v>
      </c>
      <c r="M15" s="62">
        <f t="shared" si="1"/>
        <v>10.5</v>
      </c>
      <c r="N15" s="63">
        <f t="shared" si="9"/>
        <v>39</v>
      </c>
      <c r="O15" s="60" t="s">
        <v>30</v>
      </c>
      <c r="P15" s="46">
        <v>1</v>
      </c>
      <c r="Q15" s="46">
        <v>5</v>
      </c>
      <c r="R15" s="46">
        <v>0</v>
      </c>
      <c r="S15" s="46">
        <v>0</v>
      </c>
      <c r="T15" s="62">
        <f t="shared" si="2"/>
        <v>5.5</v>
      </c>
      <c r="U15" s="63">
        <f t="shared" si="10"/>
        <v>25</v>
      </c>
      <c r="W15" s="165">
        <f t="shared" si="15"/>
        <v>35</v>
      </c>
      <c r="X15" s="166" t="s">
        <v>79</v>
      </c>
      <c r="Y15" s="164">
        <f t="shared" si="11"/>
        <v>3</v>
      </c>
      <c r="Z15" s="164">
        <f t="shared" si="11"/>
        <v>31</v>
      </c>
      <c r="AA15" s="164">
        <f t="shared" si="11"/>
        <v>0</v>
      </c>
      <c r="AB15" s="164">
        <f t="shared" si="11"/>
        <v>1</v>
      </c>
      <c r="AC15" s="81">
        <f t="shared" si="12"/>
        <v>17.5</v>
      </c>
      <c r="AD15" s="165">
        <f t="shared" si="5"/>
        <v>39</v>
      </c>
      <c r="AE15" s="166" t="s">
        <v>80</v>
      </c>
      <c r="AF15" s="164">
        <f t="shared" ref="AF15:AF22" si="18">SUM(I12:I15)</f>
        <v>12</v>
      </c>
      <c r="AG15" s="164">
        <f t="shared" si="13"/>
        <v>33</v>
      </c>
      <c r="AH15" s="164">
        <f t="shared" si="13"/>
        <v>0</v>
      </c>
      <c r="AI15" s="164">
        <f t="shared" si="13"/>
        <v>0</v>
      </c>
      <c r="AJ15" s="165">
        <f t="shared" ref="AJ15:AJ22" si="19">MAX(M12:M15)</f>
        <v>11</v>
      </c>
      <c r="AK15" s="165">
        <f t="shared" si="16"/>
        <v>25</v>
      </c>
      <c r="AL15" s="166" t="s">
        <v>81</v>
      </c>
      <c r="AM15" s="1">
        <f t="shared" ref="AM15:AM21" si="20">SUM(P12:P15)</f>
        <v>10</v>
      </c>
      <c r="AN15" s="1">
        <f t="shared" si="14"/>
        <v>20</v>
      </c>
      <c r="AO15" s="1">
        <f t="shared" si="14"/>
        <v>0</v>
      </c>
      <c r="AP15" s="1">
        <f t="shared" si="14"/>
        <v>0</v>
      </c>
      <c r="AQ15" s="81">
        <f t="shared" si="17"/>
        <v>9</v>
      </c>
    </row>
    <row r="16" spans="1:43" ht="24" customHeight="1">
      <c r="A16" s="60" t="s">
        <v>39</v>
      </c>
      <c r="B16" s="61">
        <v>2</v>
      </c>
      <c r="C16" s="61">
        <v>8</v>
      </c>
      <c r="D16" s="61">
        <v>0</v>
      </c>
      <c r="E16" s="61">
        <v>0</v>
      </c>
      <c r="F16" s="62">
        <f t="shared" si="0"/>
        <v>9</v>
      </c>
      <c r="G16" s="63">
        <f t="shared" si="8"/>
        <v>26.5</v>
      </c>
      <c r="H16" s="64" t="s">
        <v>15</v>
      </c>
      <c r="I16" s="46">
        <v>1</v>
      </c>
      <c r="J16" s="46">
        <v>8</v>
      </c>
      <c r="K16" s="46">
        <v>0</v>
      </c>
      <c r="L16" s="46">
        <v>0</v>
      </c>
      <c r="M16" s="62">
        <f t="shared" si="1"/>
        <v>8.5</v>
      </c>
      <c r="N16" s="63">
        <f t="shared" si="9"/>
        <v>38.5</v>
      </c>
      <c r="O16" s="64" t="s">
        <v>8</v>
      </c>
      <c r="P16" s="46">
        <v>2</v>
      </c>
      <c r="Q16" s="46">
        <v>3</v>
      </c>
      <c r="R16" s="46">
        <v>0</v>
      </c>
      <c r="S16" s="46">
        <v>0</v>
      </c>
      <c r="T16" s="62">
        <f t="shared" si="2"/>
        <v>4</v>
      </c>
      <c r="U16" s="63">
        <f t="shared" si="10"/>
        <v>25.5</v>
      </c>
      <c r="W16" s="165">
        <f t="shared" si="15"/>
        <v>26.5</v>
      </c>
      <c r="X16" s="166" t="s">
        <v>82</v>
      </c>
      <c r="Y16" s="164">
        <f t="shared" si="11"/>
        <v>5</v>
      </c>
      <c r="Z16" s="164">
        <f t="shared" si="11"/>
        <v>24</v>
      </c>
      <c r="AA16" s="164">
        <f t="shared" si="11"/>
        <v>0</v>
      </c>
      <c r="AB16" s="164">
        <f t="shared" si="11"/>
        <v>0</v>
      </c>
      <c r="AC16" s="81">
        <f t="shared" si="12"/>
        <v>9.5</v>
      </c>
      <c r="AD16" s="165">
        <f t="shared" si="5"/>
        <v>38.5</v>
      </c>
      <c r="AE16" s="166" t="s">
        <v>68</v>
      </c>
      <c r="AF16" s="164">
        <f t="shared" si="18"/>
        <v>11</v>
      </c>
      <c r="AG16" s="164">
        <f t="shared" si="13"/>
        <v>33</v>
      </c>
      <c r="AH16" s="164">
        <f t="shared" si="13"/>
        <v>0</v>
      </c>
      <c r="AI16" s="164">
        <f t="shared" si="13"/>
        <v>0</v>
      </c>
      <c r="AJ16" s="165">
        <f t="shared" si="19"/>
        <v>11</v>
      </c>
      <c r="AK16" s="165">
        <f t="shared" si="16"/>
        <v>25.5</v>
      </c>
      <c r="AL16" s="166" t="s">
        <v>83</v>
      </c>
      <c r="AM16" s="1">
        <f t="shared" si="20"/>
        <v>11</v>
      </c>
      <c r="AN16" s="1">
        <f t="shared" si="14"/>
        <v>20</v>
      </c>
      <c r="AO16" s="1">
        <f t="shared" si="14"/>
        <v>0</v>
      </c>
      <c r="AP16" s="1">
        <f t="shared" si="14"/>
        <v>0</v>
      </c>
      <c r="AQ16" s="81">
        <f t="shared" si="17"/>
        <v>9</v>
      </c>
    </row>
    <row r="17" spans="1:43" ht="24" customHeight="1">
      <c r="A17" s="60" t="s">
        <v>40</v>
      </c>
      <c r="B17" s="61">
        <v>1</v>
      </c>
      <c r="C17" s="61">
        <v>5</v>
      </c>
      <c r="D17" s="61">
        <v>0</v>
      </c>
      <c r="E17" s="61">
        <v>0</v>
      </c>
      <c r="F17" s="62">
        <f t="shared" si="0"/>
        <v>5.5</v>
      </c>
      <c r="G17" s="63">
        <f t="shared" si="8"/>
        <v>22.5</v>
      </c>
      <c r="H17" s="64" t="s">
        <v>18</v>
      </c>
      <c r="I17" s="46">
        <v>2</v>
      </c>
      <c r="J17" s="46">
        <v>8</v>
      </c>
      <c r="K17" s="46">
        <v>0</v>
      </c>
      <c r="L17" s="46">
        <v>0</v>
      </c>
      <c r="M17" s="62">
        <f t="shared" si="1"/>
        <v>9</v>
      </c>
      <c r="N17" s="63">
        <f t="shared" si="9"/>
        <v>36.5</v>
      </c>
      <c r="O17" s="64" t="s">
        <v>10</v>
      </c>
      <c r="P17" s="46">
        <v>0</v>
      </c>
      <c r="Q17" s="46">
        <v>6</v>
      </c>
      <c r="R17" s="46">
        <v>0</v>
      </c>
      <c r="S17" s="46">
        <v>0</v>
      </c>
      <c r="T17" s="62">
        <f t="shared" si="2"/>
        <v>6</v>
      </c>
      <c r="U17" s="63">
        <f t="shared" si="10"/>
        <v>22.5</v>
      </c>
      <c r="W17" s="165">
        <f t="shared" si="15"/>
        <v>22.5</v>
      </c>
      <c r="X17" s="166" t="s">
        <v>84</v>
      </c>
      <c r="Y17" s="164">
        <f t="shared" si="11"/>
        <v>3</v>
      </c>
      <c r="Z17" s="164">
        <f t="shared" si="11"/>
        <v>21</v>
      </c>
      <c r="AA17" s="164">
        <f t="shared" si="11"/>
        <v>0</v>
      </c>
      <c r="AB17" s="164">
        <f t="shared" si="11"/>
        <v>0</v>
      </c>
      <c r="AC17" s="81">
        <f t="shared" si="12"/>
        <v>9</v>
      </c>
      <c r="AD17" s="165">
        <f t="shared" si="5"/>
        <v>36.5</v>
      </c>
      <c r="AE17" s="166" t="s">
        <v>85</v>
      </c>
      <c r="AF17" s="164">
        <f t="shared" si="18"/>
        <v>9</v>
      </c>
      <c r="AG17" s="164">
        <f t="shared" si="13"/>
        <v>32</v>
      </c>
      <c r="AH17" s="164">
        <f t="shared" si="13"/>
        <v>0</v>
      </c>
      <c r="AI17" s="164">
        <f t="shared" si="13"/>
        <v>0</v>
      </c>
      <c r="AJ17" s="165">
        <f t="shared" si="19"/>
        <v>10.5</v>
      </c>
      <c r="AK17" s="165">
        <f t="shared" si="16"/>
        <v>22.5</v>
      </c>
      <c r="AL17" s="166" t="s">
        <v>86</v>
      </c>
      <c r="AM17" s="1">
        <f t="shared" si="20"/>
        <v>7</v>
      </c>
      <c r="AN17" s="1">
        <f t="shared" si="14"/>
        <v>19</v>
      </c>
      <c r="AO17" s="1">
        <f t="shared" si="14"/>
        <v>0</v>
      </c>
      <c r="AP17" s="1">
        <f t="shared" si="14"/>
        <v>0</v>
      </c>
      <c r="AQ17" s="81">
        <f t="shared" si="17"/>
        <v>7</v>
      </c>
    </row>
    <row r="18" spans="1:43" ht="24" customHeight="1">
      <c r="A18" s="60" t="s">
        <v>41</v>
      </c>
      <c r="B18" s="61">
        <v>0</v>
      </c>
      <c r="C18" s="61">
        <v>12</v>
      </c>
      <c r="D18" s="61">
        <v>0</v>
      </c>
      <c r="E18" s="61">
        <v>0</v>
      </c>
      <c r="F18" s="62">
        <f t="shared" si="0"/>
        <v>12</v>
      </c>
      <c r="G18" s="63">
        <f t="shared" si="8"/>
        <v>28.5</v>
      </c>
      <c r="H18" s="64" t="s">
        <v>20</v>
      </c>
      <c r="I18" s="46">
        <v>0</v>
      </c>
      <c r="J18" s="46">
        <v>6</v>
      </c>
      <c r="K18" s="46">
        <v>0</v>
      </c>
      <c r="L18" s="46">
        <v>0</v>
      </c>
      <c r="M18" s="62">
        <f t="shared" si="1"/>
        <v>6</v>
      </c>
      <c r="N18" s="63">
        <f t="shared" si="9"/>
        <v>34</v>
      </c>
      <c r="O18" s="64" t="s">
        <v>13</v>
      </c>
      <c r="P18" s="46">
        <v>1</v>
      </c>
      <c r="Q18" s="46">
        <v>7</v>
      </c>
      <c r="R18" s="46">
        <v>0</v>
      </c>
      <c r="S18" s="46">
        <v>0</v>
      </c>
      <c r="T18" s="62">
        <f t="shared" si="2"/>
        <v>7.5</v>
      </c>
      <c r="U18" s="63">
        <f t="shared" si="10"/>
        <v>23</v>
      </c>
      <c r="W18" s="165">
        <f t="shared" si="15"/>
        <v>28.5</v>
      </c>
      <c r="X18" s="166" t="s">
        <v>87</v>
      </c>
      <c r="Y18" s="164">
        <f t="shared" si="11"/>
        <v>3</v>
      </c>
      <c r="Z18" s="164">
        <f t="shared" si="11"/>
        <v>27</v>
      </c>
      <c r="AA18" s="164">
        <f t="shared" si="11"/>
        <v>0</v>
      </c>
      <c r="AB18" s="164">
        <f t="shared" si="11"/>
        <v>0</v>
      </c>
      <c r="AC18" s="81">
        <f t="shared" si="12"/>
        <v>12</v>
      </c>
      <c r="AD18" s="165">
        <f t="shared" si="5"/>
        <v>34</v>
      </c>
      <c r="AE18" s="166" t="s">
        <v>88</v>
      </c>
      <c r="AF18" s="164">
        <f t="shared" si="18"/>
        <v>6</v>
      </c>
      <c r="AG18" s="164">
        <f t="shared" si="13"/>
        <v>31</v>
      </c>
      <c r="AH18" s="164">
        <f t="shared" si="13"/>
        <v>0</v>
      </c>
      <c r="AI18" s="164">
        <f t="shared" si="13"/>
        <v>0</v>
      </c>
      <c r="AJ18" s="165">
        <f t="shared" si="19"/>
        <v>10.5</v>
      </c>
      <c r="AK18" s="165">
        <f t="shared" si="16"/>
        <v>23</v>
      </c>
      <c r="AL18" s="166" t="s">
        <v>69</v>
      </c>
      <c r="AM18" s="1">
        <f t="shared" si="20"/>
        <v>4</v>
      </c>
      <c r="AN18" s="1">
        <f t="shared" si="14"/>
        <v>21</v>
      </c>
      <c r="AO18" s="1">
        <f t="shared" si="14"/>
        <v>0</v>
      </c>
      <c r="AP18" s="1">
        <f t="shared" si="14"/>
        <v>0</v>
      </c>
      <c r="AQ18" s="81">
        <f t="shared" si="17"/>
        <v>7.5</v>
      </c>
    </row>
    <row r="19" spans="1:43" ht="24" customHeight="1" thickBot="1">
      <c r="A19" s="68" t="s">
        <v>42</v>
      </c>
      <c r="B19" s="69">
        <v>0</v>
      </c>
      <c r="C19" s="69">
        <v>12</v>
      </c>
      <c r="D19" s="69">
        <v>0</v>
      </c>
      <c r="E19" s="69">
        <v>0</v>
      </c>
      <c r="F19" s="70">
        <f t="shared" si="0"/>
        <v>12</v>
      </c>
      <c r="G19" s="71">
        <f t="shared" si="8"/>
        <v>38.5</v>
      </c>
      <c r="H19" s="72" t="s">
        <v>22</v>
      </c>
      <c r="I19" s="45">
        <v>1</v>
      </c>
      <c r="J19" s="45">
        <v>6</v>
      </c>
      <c r="K19" s="45">
        <v>0</v>
      </c>
      <c r="L19" s="45">
        <v>0</v>
      </c>
      <c r="M19" s="62">
        <f t="shared" si="1"/>
        <v>6.5</v>
      </c>
      <c r="N19" s="63">
        <f>M16+M17+M18+M19</f>
        <v>30</v>
      </c>
      <c r="O19" s="64" t="s">
        <v>16</v>
      </c>
      <c r="P19" s="46">
        <v>3</v>
      </c>
      <c r="Q19" s="46">
        <v>5</v>
      </c>
      <c r="R19" s="46">
        <v>0</v>
      </c>
      <c r="S19" s="46">
        <v>0</v>
      </c>
      <c r="T19" s="62">
        <f t="shared" si="2"/>
        <v>6.5</v>
      </c>
      <c r="U19" s="63">
        <f t="shared" si="10"/>
        <v>24</v>
      </c>
      <c r="W19" s="165">
        <f t="shared" si="15"/>
        <v>38.5</v>
      </c>
      <c r="X19" s="166" t="s">
        <v>89</v>
      </c>
      <c r="Y19" s="164">
        <f t="shared" si="11"/>
        <v>3</v>
      </c>
      <c r="Z19" s="164">
        <f t="shared" si="11"/>
        <v>37</v>
      </c>
      <c r="AA19" s="164">
        <f t="shared" si="11"/>
        <v>0</v>
      </c>
      <c r="AB19" s="164">
        <f t="shared" si="11"/>
        <v>0</v>
      </c>
      <c r="AC19" s="81">
        <f t="shared" si="12"/>
        <v>12</v>
      </c>
      <c r="AD19" s="165">
        <f t="shared" si="5"/>
        <v>30</v>
      </c>
      <c r="AE19" s="166" t="s">
        <v>90</v>
      </c>
      <c r="AF19" s="164">
        <f t="shared" si="18"/>
        <v>4</v>
      </c>
      <c r="AG19" s="164">
        <f t="shared" si="13"/>
        <v>28</v>
      </c>
      <c r="AH19" s="164">
        <f t="shared" si="13"/>
        <v>0</v>
      </c>
      <c r="AI19" s="164">
        <f t="shared" si="13"/>
        <v>0</v>
      </c>
      <c r="AJ19" s="165">
        <f t="shared" si="19"/>
        <v>9</v>
      </c>
      <c r="AK19" s="165">
        <f t="shared" si="16"/>
        <v>24</v>
      </c>
      <c r="AL19" s="166" t="s">
        <v>91</v>
      </c>
      <c r="AM19" s="1">
        <f t="shared" si="20"/>
        <v>6</v>
      </c>
      <c r="AN19" s="1">
        <f t="shared" si="14"/>
        <v>21</v>
      </c>
      <c r="AO19" s="1">
        <f t="shared" si="14"/>
        <v>0</v>
      </c>
      <c r="AP19" s="1">
        <f t="shared" si="14"/>
        <v>0</v>
      </c>
      <c r="AQ19" s="81">
        <f t="shared" si="17"/>
        <v>7.5</v>
      </c>
    </row>
    <row r="20" spans="1:43" ht="24" customHeight="1">
      <c r="A20" s="64" t="s">
        <v>27</v>
      </c>
      <c r="B20" s="67">
        <v>2</v>
      </c>
      <c r="C20" s="67">
        <v>11</v>
      </c>
      <c r="D20" s="67">
        <v>0</v>
      </c>
      <c r="E20" s="67">
        <v>0</v>
      </c>
      <c r="F20" s="73">
        <f t="shared" si="0"/>
        <v>12</v>
      </c>
      <c r="G20" s="74"/>
      <c r="H20" s="64" t="s">
        <v>24</v>
      </c>
      <c r="I20" s="46">
        <v>1</v>
      </c>
      <c r="J20" s="46">
        <v>6</v>
      </c>
      <c r="K20" s="46">
        <v>0</v>
      </c>
      <c r="L20" s="46">
        <v>0</v>
      </c>
      <c r="M20" s="73">
        <f t="shared" si="1"/>
        <v>6.5</v>
      </c>
      <c r="N20" s="63">
        <f>M17+M18+M19+M20</f>
        <v>28</v>
      </c>
      <c r="O20" s="64" t="s">
        <v>45</v>
      </c>
      <c r="P20" s="45">
        <v>2</v>
      </c>
      <c r="Q20" s="45">
        <v>4</v>
      </c>
      <c r="R20" s="45">
        <v>0</v>
      </c>
      <c r="S20" s="45">
        <v>0</v>
      </c>
      <c r="T20" s="73">
        <f t="shared" si="2"/>
        <v>5</v>
      </c>
      <c r="U20" s="63">
        <f t="shared" si="10"/>
        <v>25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28</v>
      </c>
      <c r="AE20" s="166" t="s">
        <v>92</v>
      </c>
      <c r="AF20" s="164">
        <f t="shared" si="18"/>
        <v>4</v>
      </c>
      <c r="AG20" s="164">
        <f t="shared" si="13"/>
        <v>26</v>
      </c>
      <c r="AH20" s="164">
        <f t="shared" si="13"/>
        <v>0</v>
      </c>
      <c r="AI20" s="164">
        <f t="shared" si="13"/>
        <v>0</v>
      </c>
      <c r="AJ20" s="165">
        <f t="shared" si="19"/>
        <v>9</v>
      </c>
      <c r="AK20" s="165">
        <f t="shared" si="16"/>
        <v>25</v>
      </c>
      <c r="AL20" s="166" t="s">
        <v>70</v>
      </c>
      <c r="AM20" s="1">
        <f t="shared" si="20"/>
        <v>6</v>
      </c>
      <c r="AN20" s="1">
        <f t="shared" si="14"/>
        <v>22</v>
      </c>
      <c r="AO20" s="1">
        <f t="shared" si="14"/>
        <v>0</v>
      </c>
      <c r="AP20" s="1">
        <f t="shared" si="14"/>
        <v>0</v>
      </c>
      <c r="AQ20" s="81">
        <f t="shared" si="17"/>
        <v>7.5</v>
      </c>
    </row>
    <row r="21" spans="1:43" ht="24" customHeight="1" thickBot="1">
      <c r="A21" s="64" t="s">
        <v>28</v>
      </c>
      <c r="B21" s="61">
        <v>3</v>
      </c>
      <c r="C21" s="61">
        <v>13</v>
      </c>
      <c r="D21" s="61">
        <v>0</v>
      </c>
      <c r="E21" s="61">
        <v>0</v>
      </c>
      <c r="F21" s="62">
        <f t="shared" si="0"/>
        <v>14.5</v>
      </c>
      <c r="G21" s="75"/>
      <c r="H21" s="72" t="s">
        <v>25</v>
      </c>
      <c r="I21" s="46">
        <v>5</v>
      </c>
      <c r="J21" s="46">
        <v>8</v>
      </c>
      <c r="K21" s="46">
        <v>0</v>
      </c>
      <c r="L21" s="46">
        <v>0</v>
      </c>
      <c r="M21" s="62">
        <f t="shared" si="1"/>
        <v>10.5</v>
      </c>
      <c r="N21" s="63">
        <f>M18+M19+M20+M21</f>
        <v>29.5</v>
      </c>
      <c r="O21" s="68" t="s">
        <v>46</v>
      </c>
      <c r="P21" s="47">
        <v>1</v>
      </c>
      <c r="Q21" s="47">
        <v>5</v>
      </c>
      <c r="R21" s="47">
        <v>0</v>
      </c>
      <c r="S21" s="47">
        <v>0</v>
      </c>
      <c r="T21" s="70">
        <f t="shared" si="2"/>
        <v>5.5</v>
      </c>
      <c r="U21" s="71">
        <f t="shared" si="10"/>
        <v>24.5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29.5</v>
      </c>
      <c r="AE21" s="166" t="s">
        <v>71</v>
      </c>
      <c r="AF21" s="164">
        <f t="shared" si="18"/>
        <v>7</v>
      </c>
      <c r="AG21" s="164">
        <f t="shared" si="13"/>
        <v>26</v>
      </c>
      <c r="AH21" s="164">
        <f t="shared" si="13"/>
        <v>0</v>
      </c>
      <c r="AI21" s="164">
        <f t="shared" si="13"/>
        <v>0</v>
      </c>
      <c r="AJ21" s="165">
        <f t="shared" si="19"/>
        <v>10.5</v>
      </c>
      <c r="AK21" s="165">
        <f t="shared" si="16"/>
        <v>24.5</v>
      </c>
      <c r="AL21" s="166" t="s">
        <v>72</v>
      </c>
      <c r="AM21" s="1">
        <f t="shared" si="20"/>
        <v>7</v>
      </c>
      <c r="AN21" s="1">
        <f t="shared" si="14"/>
        <v>21</v>
      </c>
      <c r="AO21" s="1">
        <f t="shared" si="14"/>
        <v>0</v>
      </c>
      <c r="AP21" s="1">
        <f t="shared" si="14"/>
        <v>0</v>
      </c>
      <c r="AQ21" s="81">
        <f t="shared" si="17"/>
        <v>7.5</v>
      </c>
    </row>
    <row r="22" spans="1:43" ht="24" customHeight="1" thickBot="1">
      <c r="A22" s="64" t="s">
        <v>1</v>
      </c>
      <c r="B22" s="61">
        <v>5</v>
      </c>
      <c r="C22" s="61">
        <v>9</v>
      </c>
      <c r="D22" s="61">
        <v>0</v>
      </c>
      <c r="E22" s="61">
        <v>0</v>
      </c>
      <c r="F22" s="62">
        <f t="shared" si="0"/>
        <v>11.5</v>
      </c>
      <c r="G22" s="63"/>
      <c r="H22" s="68" t="s">
        <v>26</v>
      </c>
      <c r="I22" s="47">
        <v>3</v>
      </c>
      <c r="J22" s="47">
        <v>6</v>
      </c>
      <c r="K22" s="47">
        <v>0</v>
      </c>
      <c r="L22" s="47">
        <v>0</v>
      </c>
      <c r="M22" s="62">
        <f t="shared" si="1"/>
        <v>7.5</v>
      </c>
      <c r="N22" s="71">
        <f>M19+M20+M21+M22</f>
        <v>31</v>
      </c>
      <c r="O22" s="64"/>
      <c r="P22" s="67"/>
      <c r="Q22" s="67"/>
      <c r="R22" s="67"/>
      <c r="S22" s="67"/>
      <c r="T22" s="73"/>
      <c r="U22" s="76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31</v>
      </c>
      <c r="AE22" s="166" t="s">
        <v>93</v>
      </c>
      <c r="AF22" s="164">
        <f t="shared" si="18"/>
        <v>10</v>
      </c>
      <c r="AG22" s="164">
        <f t="shared" si="13"/>
        <v>26</v>
      </c>
      <c r="AH22" s="164">
        <f t="shared" si="13"/>
        <v>0</v>
      </c>
      <c r="AI22" s="164">
        <f t="shared" si="13"/>
        <v>0</v>
      </c>
      <c r="AJ22" s="165">
        <f t="shared" si="19"/>
        <v>10.5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80" t="s">
        <v>47</v>
      </c>
      <c r="B23" s="381"/>
      <c r="C23" s="391" t="s">
        <v>50</v>
      </c>
      <c r="D23" s="392"/>
      <c r="E23" s="392"/>
      <c r="F23" s="393"/>
      <c r="G23" s="89">
        <f>MAX(G13:G19)</f>
        <v>53</v>
      </c>
      <c r="H23" s="389" t="s">
        <v>48</v>
      </c>
      <c r="I23" s="390"/>
      <c r="J23" s="377" t="s">
        <v>50</v>
      </c>
      <c r="K23" s="378"/>
      <c r="L23" s="378"/>
      <c r="M23" s="379"/>
      <c r="N23" s="90">
        <f>MAX(N10:N22)</f>
        <v>47.5</v>
      </c>
      <c r="O23" s="380" t="s">
        <v>49</v>
      </c>
      <c r="P23" s="381"/>
      <c r="Q23" s="391" t="s">
        <v>50</v>
      </c>
      <c r="R23" s="392"/>
      <c r="S23" s="392"/>
      <c r="T23" s="393"/>
      <c r="U23" s="89">
        <f>MAX(U13:U21)</f>
        <v>26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82"/>
      <c r="B24" s="383"/>
      <c r="C24" s="83" t="s">
        <v>73</v>
      </c>
      <c r="D24" s="86"/>
      <c r="E24" s="86"/>
      <c r="F24" s="87" t="s">
        <v>65</v>
      </c>
      <c r="G24" s="88"/>
      <c r="H24" s="382"/>
      <c r="I24" s="383"/>
      <c r="J24" s="83" t="s">
        <v>73</v>
      </c>
      <c r="K24" s="86"/>
      <c r="L24" s="86"/>
      <c r="M24" s="87" t="s">
        <v>74</v>
      </c>
      <c r="N24" s="88"/>
      <c r="O24" s="382"/>
      <c r="P24" s="383"/>
      <c r="Q24" s="83" t="s">
        <v>73</v>
      </c>
      <c r="R24" s="86"/>
      <c r="S24" s="86"/>
      <c r="T24" s="87" t="s">
        <v>77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W33" s="169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L6:N6"/>
    <mergeCell ref="H23:I24"/>
    <mergeCell ref="Q23:T23"/>
    <mergeCell ref="A26:E26"/>
    <mergeCell ref="A23:B24"/>
    <mergeCell ref="C23:F23"/>
    <mergeCell ref="W7:X7"/>
    <mergeCell ref="AD7:AE7"/>
    <mergeCell ref="AK7:AL7"/>
    <mergeCell ref="J23:M23"/>
    <mergeCell ref="O23:P24"/>
    <mergeCell ref="U8:U9"/>
    <mergeCell ref="T8:T9"/>
    <mergeCell ref="P8:S8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topLeftCell="E19" workbookViewId="0">
      <selection activeCell="V35" sqref="V35"/>
    </sheetView>
  </sheetViews>
  <sheetFormatPr baseColWidth="10" defaultColWidth="11.5703125" defaultRowHeight="12.75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2" width="11" customWidth="1"/>
    <col min="23" max="23" width="10.7109375" hidden="1" customWidth="1"/>
    <col min="24" max="24" width="9.28515625" hidden="1" customWidth="1"/>
    <col min="25" max="25" width="8.140625" hidden="1" customWidth="1"/>
    <col min="26" max="26" width="10.140625" hidden="1" customWidth="1"/>
    <col min="27" max="27" width="7.42578125" hidden="1" customWidth="1"/>
    <col min="28" max="29" width="10.140625" hidden="1" customWidth="1"/>
    <col min="30" max="30" width="9.7109375" style="1" hidden="1" customWidth="1"/>
    <col min="31" max="34" width="11.5703125" style="1" hidden="1" customWidth="1"/>
    <col min="35" max="35" width="2.7109375" style="1" hidden="1" customWidth="1"/>
    <col min="36" max="36" width="9.5703125" style="1" hidden="1" customWidth="1"/>
    <col min="37" max="37" width="3.5703125" style="1" hidden="1" customWidth="1"/>
    <col min="38" max="38" width="10.140625" style="1" hidden="1" customWidth="1"/>
    <col min="39" max="39" width="3" style="1" hidden="1" customWidth="1"/>
    <col min="40" max="40" width="4" style="1" hidden="1" customWidth="1"/>
    <col min="41" max="42" width="3" style="1" hidden="1" customWidth="1"/>
    <col min="43" max="43" width="9.5703125" style="1" hidden="1" customWidth="1"/>
    <col min="44" max="16384" width="11.5703125" style="1"/>
  </cols>
  <sheetData>
    <row r="1" spans="1:43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43" ht="15.75" customHeight="1">
      <c r="A2" s="369" t="s">
        <v>38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43" ht="7.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43" ht="12.75" customHeight="1">
      <c r="A4" s="368" t="s">
        <v>54</v>
      </c>
      <c r="B4" s="368"/>
      <c r="C4" s="368"/>
      <c r="D4" s="26"/>
      <c r="E4" s="371" t="str">
        <f>'G-1'!E4:H4</f>
        <v>DE OBRA</v>
      </c>
      <c r="F4" s="371"/>
      <c r="G4" s="371"/>
      <c r="H4" s="3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43" ht="12.75" customHeight="1">
      <c r="A5" s="366" t="s">
        <v>56</v>
      </c>
      <c r="B5" s="366"/>
      <c r="C5" s="366"/>
      <c r="D5" s="371" t="str">
        <f>'G-1'!D5:H5</f>
        <v>CALLE 81 - CARRERA 69</v>
      </c>
      <c r="E5" s="371"/>
      <c r="F5" s="371"/>
      <c r="G5" s="371"/>
      <c r="H5" s="371"/>
      <c r="I5" s="366" t="s">
        <v>53</v>
      </c>
      <c r="J5" s="366"/>
      <c r="K5" s="366"/>
      <c r="L5" s="372">
        <f>'G-1'!L5:N5</f>
        <v>0</v>
      </c>
      <c r="M5" s="372"/>
      <c r="N5" s="372"/>
      <c r="O5" s="12"/>
      <c r="P5" s="366" t="s">
        <v>57</v>
      </c>
      <c r="Q5" s="366"/>
      <c r="R5" s="366"/>
      <c r="S5" s="370" t="s">
        <v>94</v>
      </c>
      <c r="T5" s="370"/>
      <c r="U5" s="370"/>
    </row>
    <row r="6" spans="1:43" ht="12.75" customHeight="1">
      <c r="A6" s="366" t="s">
        <v>55</v>
      </c>
      <c r="B6" s="366"/>
      <c r="C6" s="366"/>
      <c r="D6" s="374" t="s">
        <v>231</v>
      </c>
      <c r="E6" s="374"/>
      <c r="F6" s="374"/>
      <c r="G6" s="374"/>
      <c r="H6" s="374"/>
      <c r="I6" s="366" t="s">
        <v>59</v>
      </c>
      <c r="J6" s="366"/>
      <c r="K6" s="366"/>
      <c r="L6" s="375">
        <v>1</v>
      </c>
      <c r="M6" s="375"/>
      <c r="N6" s="375"/>
      <c r="O6" s="42"/>
      <c r="P6" s="366" t="s">
        <v>58</v>
      </c>
      <c r="Q6" s="366"/>
      <c r="R6" s="366"/>
      <c r="S6" s="373">
        <f>'G-1'!S6:U6</f>
        <v>42892</v>
      </c>
      <c r="T6" s="373"/>
      <c r="U6" s="373"/>
    </row>
    <row r="7" spans="1:43" ht="14.2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  <c r="W7" s="346" t="str">
        <f>+'G-Totales'!F24</f>
        <v>7:30 - 8:30</v>
      </c>
      <c r="X7" s="346"/>
      <c r="Y7" s="1"/>
      <c r="Z7" s="1"/>
      <c r="AA7" s="1"/>
      <c r="AB7" s="1"/>
      <c r="AC7" s="1"/>
      <c r="AD7" s="346" t="str">
        <f>+'G-Totales'!M24</f>
        <v>12:15 - 13:15</v>
      </c>
      <c r="AE7" s="346"/>
      <c r="AK7" s="346" t="str">
        <f>+'G-Totales'!T24</f>
        <v>16:00 - 17:00</v>
      </c>
      <c r="AL7" s="346"/>
    </row>
    <row r="8" spans="1:43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3</v>
      </c>
      <c r="Z8" s="168">
        <v>4</v>
      </c>
      <c r="AA8" s="168">
        <v>5</v>
      </c>
      <c r="AB8" s="168">
        <v>6</v>
      </c>
      <c r="AC8" s="168">
        <v>7</v>
      </c>
      <c r="AD8" s="168">
        <v>1</v>
      </c>
      <c r="AE8" s="168">
        <v>2</v>
      </c>
      <c r="AF8" s="168">
        <v>3</v>
      </c>
      <c r="AG8" s="168">
        <v>4</v>
      </c>
      <c r="AH8" s="168">
        <v>5</v>
      </c>
      <c r="AI8" s="168">
        <v>6</v>
      </c>
      <c r="AJ8" s="168">
        <v>7</v>
      </c>
      <c r="AK8" s="168">
        <v>1</v>
      </c>
      <c r="AL8" s="168">
        <v>2</v>
      </c>
      <c r="AM8" s="168">
        <v>3</v>
      </c>
      <c r="AN8" s="168">
        <v>4</v>
      </c>
      <c r="AO8" s="168">
        <v>5</v>
      </c>
      <c r="AP8" s="168">
        <v>6</v>
      </c>
      <c r="AQ8" s="1">
        <v>7</v>
      </c>
    </row>
    <row r="9" spans="1:43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0" t="s">
        <v>52</v>
      </c>
      <c r="Z9" s="200" t="s">
        <v>0</v>
      </c>
      <c r="AA9" s="200" t="s">
        <v>2</v>
      </c>
      <c r="AB9" s="200" t="s">
        <v>3</v>
      </c>
      <c r="AC9" s="200" t="s">
        <v>224</v>
      </c>
      <c r="AD9" s="204"/>
      <c r="AE9" s="204"/>
      <c r="AF9" s="201" t="s">
        <v>52</v>
      </c>
      <c r="AG9" s="201" t="s">
        <v>0</v>
      </c>
      <c r="AH9" s="201" t="s">
        <v>2</v>
      </c>
      <c r="AI9" s="201" t="s">
        <v>3</v>
      </c>
      <c r="AJ9" s="201" t="s">
        <v>224</v>
      </c>
      <c r="AK9" s="203"/>
      <c r="AL9" s="203"/>
      <c r="AM9" s="202" t="s">
        <v>52</v>
      </c>
      <c r="AN9" s="202" t="s">
        <v>0</v>
      </c>
      <c r="AO9" s="202" t="s">
        <v>2</v>
      </c>
      <c r="AP9" s="202" t="s">
        <v>3</v>
      </c>
      <c r="AQ9" s="202" t="s">
        <v>224</v>
      </c>
    </row>
    <row r="10" spans="1:43" ht="24" customHeight="1">
      <c r="A10" s="18" t="s">
        <v>11</v>
      </c>
      <c r="B10" s="46">
        <v>3</v>
      </c>
      <c r="C10" s="46">
        <v>13</v>
      </c>
      <c r="D10" s="46">
        <v>0</v>
      </c>
      <c r="E10" s="46">
        <v>0</v>
      </c>
      <c r="F10" s="62">
        <f>B10*0.5+C10*1+D10*2+E10*2.5</f>
        <v>14.5</v>
      </c>
      <c r="G10" s="2"/>
      <c r="H10" s="19" t="s">
        <v>4</v>
      </c>
      <c r="I10" s="46">
        <v>5</v>
      </c>
      <c r="J10" s="46">
        <v>0</v>
      </c>
      <c r="K10" s="46">
        <v>0</v>
      </c>
      <c r="L10" s="46">
        <v>0</v>
      </c>
      <c r="M10" s="6">
        <f>I10*0.5+J10*1+K10*2+L10*2.5</f>
        <v>2.5</v>
      </c>
      <c r="N10" s="9">
        <f>F20+F21+F22+M10</f>
        <v>25</v>
      </c>
      <c r="O10" s="19" t="s">
        <v>43</v>
      </c>
      <c r="P10" s="46">
        <v>3</v>
      </c>
      <c r="Q10" s="46">
        <v>6</v>
      </c>
      <c r="R10" s="46">
        <v>0</v>
      </c>
      <c r="S10" s="46">
        <v>0</v>
      </c>
      <c r="T10" s="6">
        <f>P10*0.5+Q10*1+R10*2+S10*2.5</f>
        <v>7.5</v>
      </c>
      <c r="U10" s="10"/>
      <c r="W10" s="164" t="s">
        <v>152</v>
      </c>
      <c r="X10" s="166" t="s">
        <v>152</v>
      </c>
      <c r="Y10" s="164" t="s">
        <v>152</v>
      </c>
      <c r="Z10" s="164" t="s">
        <v>152</v>
      </c>
      <c r="AA10" s="164" t="s">
        <v>152</v>
      </c>
      <c r="AB10" s="164" t="s">
        <v>152</v>
      </c>
      <c r="AC10" s="164">
        <f t="shared" ref="AC10:AC12" si="0">AR10</f>
        <v>0</v>
      </c>
      <c r="AD10" s="165">
        <f>+N10</f>
        <v>25</v>
      </c>
      <c r="AE10" s="166" t="s">
        <v>74</v>
      </c>
      <c r="AF10" s="164">
        <f>SUM(B20:B22)+I10</f>
        <v>8</v>
      </c>
      <c r="AG10" s="164">
        <f>SUM(C20:C22)+J10</f>
        <v>21</v>
      </c>
      <c r="AH10" s="164">
        <f t="shared" ref="AH10:AI10" si="1">SUM(D20:D22)+K10</f>
        <v>0</v>
      </c>
      <c r="AI10" s="164">
        <f t="shared" si="1"/>
        <v>0</v>
      </c>
      <c r="AJ10" s="165">
        <f>MAX(F20:F22,M10)</f>
        <v>9</v>
      </c>
      <c r="AK10" s="168" t="s">
        <v>152</v>
      </c>
      <c r="AL10" s="168" t="s">
        <v>152</v>
      </c>
      <c r="AM10" s="168" t="s">
        <v>152</v>
      </c>
      <c r="AN10" s="168" t="s">
        <v>152</v>
      </c>
      <c r="AO10" s="168" t="s">
        <v>152</v>
      </c>
      <c r="AP10" s="168" t="s">
        <v>152</v>
      </c>
      <c r="AQ10" s="168" t="s">
        <v>152</v>
      </c>
    </row>
    <row r="11" spans="1:43" ht="24" customHeight="1">
      <c r="A11" s="18" t="s">
        <v>14</v>
      </c>
      <c r="B11" s="46">
        <v>2</v>
      </c>
      <c r="C11" s="46">
        <v>9</v>
      </c>
      <c r="D11" s="46">
        <v>0</v>
      </c>
      <c r="E11" s="46">
        <v>0</v>
      </c>
      <c r="F11" s="6">
        <f t="shared" ref="F11:F22" si="2">B11*0.5+C11*1+D11*2+E11*2.5</f>
        <v>10</v>
      </c>
      <c r="G11" s="2"/>
      <c r="H11" s="19" t="s">
        <v>5</v>
      </c>
      <c r="I11" s="46">
        <v>4</v>
      </c>
      <c r="J11" s="46">
        <v>2</v>
      </c>
      <c r="K11" s="46">
        <v>0</v>
      </c>
      <c r="L11" s="46">
        <v>0</v>
      </c>
      <c r="M11" s="6">
        <f t="shared" ref="M11:M22" si="3">I11*0.5+J11*1+K11*2+L11*2.5</f>
        <v>4</v>
      </c>
      <c r="N11" s="9">
        <f>F21+F22+M10+M11</f>
        <v>21</v>
      </c>
      <c r="O11" s="19" t="s">
        <v>44</v>
      </c>
      <c r="P11" s="46">
        <v>1</v>
      </c>
      <c r="Q11" s="46">
        <v>7</v>
      </c>
      <c r="R11" s="46">
        <v>0</v>
      </c>
      <c r="S11" s="46">
        <v>0</v>
      </c>
      <c r="T11" s="6">
        <f t="shared" ref="T11:T21" si="4">P11*0.5+Q11*1+R11*2+S11*2.5</f>
        <v>7.5</v>
      </c>
      <c r="U11" s="2"/>
      <c r="W11" s="164" t="s">
        <v>152</v>
      </c>
      <c r="X11" s="166" t="s">
        <v>152</v>
      </c>
      <c r="Y11" s="164" t="s">
        <v>152</v>
      </c>
      <c r="Z11" s="164" t="s">
        <v>152</v>
      </c>
      <c r="AA11" s="164" t="s">
        <v>152</v>
      </c>
      <c r="AB11" s="164" t="s">
        <v>152</v>
      </c>
      <c r="AC11" s="164">
        <f t="shared" si="0"/>
        <v>0</v>
      </c>
      <c r="AD11" s="165">
        <f t="shared" ref="AD11:AD22" si="5">+N11</f>
        <v>21</v>
      </c>
      <c r="AE11" s="166" t="s">
        <v>64</v>
      </c>
      <c r="AF11" s="164">
        <f>SUM(B21:B22)+I10+I11</f>
        <v>10</v>
      </c>
      <c r="AG11" s="164">
        <f t="shared" ref="AG11:AI11" si="6">SUM(C21:C22)+J10+J11</f>
        <v>16</v>
      </c>
      <c r="AH11" s="164">
        <f t="shared" si="6"/>
        <v>0</v>
      </c>
      <c r="AI11" s="164">
        <f t="shared" si="6"/>
        <v>0</v>
      </c>
      <c r="AJ11" s="165">
        <f>MAX(F21:F22,M10,M11)</f>
        <v>9</v>
      </c>
      <c r="AK11" s="168" t="s">
        <v>152</v>
      </c>
      <c r="AL11" s="168" t="s">
        <v>152</v>
      </c>
      <c r="AM11" s="168" t="s">
        <v>152</v>
      </c>
      <c r="AN11" s="168" t="s">
        <v>152</v>
      </c>
      <c r="AO11" s="168" t="s">
        <v>152</v>
      </c>
      <c r="AP11" s="168" t="s">
        <v>152</v>
      </c>
      <c r="AQ11" s="168" t="s">
        <v>152</v>
      </c>
    </row>
    <row r="12" spans="1:43" ht="24" customHeight="1">
      <c r="A12" s="18" t="s">
        <v>17</v>
      </c>
      <c r="B12" s="46">
        <v>1</v>
      </c>
      <c r="C12" s="46">
        <v>11</v>
      </c>
      <c r="D12" s="46">
        <v>0</v>
      </c>
      <c r="E12" s="46">
        <v>0</v>
      </c>
      <c r="F12" s="6">
        <f t="shared" si="2"/>
        <v>11.5</v>
      </c>
      <c r="G12" s="2"/>
      <c r="H12" s="19" t="s">
        <v>6</v>
      </c>
      <c r="I12" s="46">
        <v>3</v>
      </c>
      <c r="J12" s="46">
        <v>14</v>
      </c>
      <c r="K12" s="46">
        <v>0</v>
      </c>
      <c r="L12" s="46">
        <v>0</v>
      </c>
      <c r="M12" s="6">
        <f t="shared" si="3"/>
        <v>15.5</v>
      </c>
      <c r="N12" s="2">
        <f>F22+M10+M11+M12</f>
        <v>27.5</v>
      </c>
      <c r="O12" s="19" t="s">
        <v>32</v>
      </c>
      <c r="P12" s="46">
        <v>1</v>
      </c>
      <c r="Q12" s="46">
        <v>8</v>
      </c>
      <c r="R12" s="46">
        <v>0</v>
      </c>
      <c r="S12" s="46">
        <v>1</v>
      </c>
      <c r="T12" s="6">
        <f t="shared" si="4"/>
        <v>11</v>
      </c>
      <c r="U12" s="2"/>
      <c r="W12" s="164" t="s">
        <v>152</v>
      </c>
      <c r="X12" s="166" t="s">
        <v>152</v>
      </c>
      <c r="Y12" s="164" t="s">
        <v>152</v>
      </c>
      <c r="Z12" s="164" t="s">
        <v>152</v>
      </c>
      <c r="AA12" s="164" t="s">
        <v>152</v>
      </c>
      <c r="AB12" s="164" t="s">
        <v>152</v>
      </c>
      <c r="AC12" s="164">
        <f t="shared" si="0"/>
        <v>0</v>
      </c>
      <c r="AD12" s="165">
        <f t="shared" si="5"/>
        <v>27.5</v>
      </c>
      <c r="AE12" s="166" t="s">
        <v>75</v>
      </c>
      <c r="AF12" s="164">
        <f>SUM(I10:I12)+B22</f>
        <v>13</v>
      </c>
      <c r="AG12" s="164">
        <f t="shared" ref="AG12:AI12" si="7">SUM(J10:J12)+C22</f>
        <v>21</v>
      </c>
      <c r="AH12" s="164">
        <f t="shared" si="7"/>
        <v>0</v>
      </c>
      <c r="AI12" s="164">
        <f t="shared" si="7"/>
        <v>0</v>
      </c>
      <c r="AJ12" s="165">
        <f>MAX(M10:M12,F22)</f>
        <v>15.5</v>
      </c>
      <c r="AK12" s="168" t="s">
        <v>152</v>
      </c>
      <c r="AL12" s="168" t="s">
        <v>152</v>
      </c>
      <c r="AM12" s="168" t="s">
        <v>152</v>
      </c>
      <c r="AN12" s="168" t="s">
        <v>152</v>
      </c>
      <c r="AO12" s="168" t="s">
        <v>152</v>
      </c>
      <c r="AP12" s="168" t="s">
        <v>152</v>
      </c>
      <c r="AQ12" s="168" t="s">
        <v>152</v>
      </c>
    </row>
    <row r="13" spans="1:43" ht="24" customHeight="1">
      <c r="A13" s="18" t="s">
        <v>19</v>
      </c>
      <c r="B13" s="46">
        <v>1</v>
      </c>
      <c r="C13" s="46">
        <v>5</v>
      </c>
      <c r="D13" s="46">
        <v>0</v>
      </c>
      <c r="E13" s="46">
        <v>0</v>
      </c>
      <c r="F13" s="6">
        <f t="shared" si="2"/>
        <v>5.5</v>
      </c>
      <c r="G13" s="2">
        <f>F10+F11+F12+F13</f>
        <v>41.5</v>
      </c>
      <c r="H13" s="19" t="s">
        <v>7</v>
      </c>
      <c r="I13" s="46">
        <v>5</v>
      </c>
      <c r="J13" s="46">
        <v>10</v>
      </c>
      <c r="K13" s="46">
        <v>0</v>
      </c>
      <c r="L13" s="46">
        <v>0</v>
      </c>
      <c r="M13" s="6">
        <f t="shared" si="3"/>
        <v>12.5</v>
      </c>
      <c r="N13" s="2">
        <f t="shared" ref="N13:N18" si="8">M10+M11+M12+M13</f>
        <v>34.5</v>
      </c>
      <c r="O13" s="19" t="s">
        <v>33</v>
      </c>
      <c r="P13" s="46">
        <v>1</v>
      </c>
      <c r="Q13" s="46">
        <v>8</v>
      </c>
      <c r="R13" s="46">
        <v>0</v>
      </c>
      <c r="S13" s="46">
        <v>0</v>
      </c>
      <c r="T13" s="6">
        <f t="shared" si="4"/>
        <v>8.5</v>
      </c>
      <c r="U13" s="2">
        <f t="shared" ref="U13:U21" si="9">T10+T11+T12+T13</f>
        <v>34.5</v>
      </c>
      <c r="W13" s="165">
        <f>+G13</f>
        <v>41.5</v>
      </c>
      <c r="X13" s="166" t="s">
        <v>65</v>
      </c>
      <c r="Y13" s="164">
        <f t="shared" ref="Y13:AB19" si="10">SUM(B10:B13)</f>
        <v>7</v>
      </c>
      <c r="Z13" s="164">
        <f t="shared" si="10"/>
        <v>38</v>
      </c>
      <c r="AA13" s="164">
        <f t="shared" si="10"/>
        <v>0</v>
      </c>
      <c r="AB13" s="164">
        <f t="shared" si="10"/>
        <v>0</v>
      </c>
      <c r="AC13" s="81">
        <f t="shared" ref="AC13:AC19" si="11">MAX(F10:F13)</f>
        <v>14.5</v>
      </c>
      <c r="AD13" s="165">
        <f t="shared" si="5"/>
        <v>34.5</v>
      </c>
      <c r="AE13" s="166" t="s">
        <v>76</v>
      </c>
      <c r="AF13" s="164">
        <f>SUM(I10:I13)</f>
        <v>17</v>
      </c>
      <c r="AG13" s="164">
        <f t="shared" ref="AG13:AI22" si="12">SUM(J10:J13)</f>
        <v>26</v>
      </c>
      <c r="AH13" s="164">
        <f t="shared" si="12"/>
        <v>0</v>
      </c>
      <c r="AI13" s="164">
        <f t="shared" si="12"/>
        <v>0</v>
      </c>
      <c r="AJ13" s="165">
        <f>MAX(M10:M13)</f>
        <v>15.5</v>
      </c>
      <c r="AK13" s="165">
        <f>+U13</f>
        <v>34.5</v>
      </c>
      <c r="AL13" s="166" t="s">
        <v>77</v>
      </c>
      <c r="AM13" s="1">
        <f>SUM(P10:P13)</f>
        <v>6</v>
      </c>
      <c r="AN13" s="1">
        <f t="shared" ref="AN13:AP21" si="13">SUM(Q10:Q13)</f>
        <v>29</v>
      </c>
      <c r="AO13" s="1">
        <f t="shared" si="13"/>
        <v>0</v>
      </c>
      <c r="AP13" s="1">
        <f t="shared" si="13"/>
        <v>1</v>
      </c>
      <c r="AQ13" s="81">
        <f>MAX(T10:T13)</f>
        <v>11</v>
      </c>
    </row>
    <row r="14" spans="1:43" ht="24" customHeight="1">
      <c r="A14" s="18" t="s">
        <v>21</v>
      </c>
      <c r="B14" s="46">
        <v>2</v>
      </c>
      <c r="C14" s="46">
        <v>14</v>
      </c>
      <c r="D14" s="46">
        <v>0</v>
      </c>
      <c r="E14" s="46">
        <v>1</v>
      </c>
      <c r="F14" s="6">
        <f t="shared" si="2"/>
        <v>17.5</v>
      </c>
      <c r="G14" s="2">
        <f t="shared" ref="G14:G19" si="14">F11+F12+F13+F14</f>
        <v>44.5</v>
      </c>
      <c r="H14" s="19" t="s">
        <v>9</v>
      </c>
      <c r="I14" s="46">
        <v>3</v>
      </c>
      <c r="J14" s="46">
        <v>8</v>
      </c>
      <c r="K14" s="46">
        <v>0</v>
      </c>
      <c r="L14" s="46">
        <v>1</v>
      </c>
      <c r="M14" s="6">
        <f t="shared" si="3"/>
        <v>12</v>
      </c>
      <c r="N14" s="2">
        <f t="shared" si="8"/>
        <v>44</v>
      </c>
      <c r="O14" s="19" t="s">
        <v>29</v>
      </c>
      <c r="P14" s="45">
        <v>2</v>
      </c>
      <c r="Q14" s="45">
        <v>0</v>
      </c>
      <c r="R14" s="45">
        <v>0</v>
      </c>
      <c r="S14" s="45">
        <v>0</v>
      </c>
      <c r="T14" s="6">
        <f t="shared" si="4"/>
        <v>1</v>
      </c>
      <c r="U14" s="2">
        <f t="shared" si="9"/>
        <v>28</v>
      </c>
      <c r="W14" s="165">
        <f t="shared" ref="W14:W19" si="15">+G14</f>
        <v>44.5</v>
      </c>
      <c r="X14" s="166" t="s">
        <v>66</v>
      </c>
      <c r="Y14" s="164">
        <f t="shared" si="10"/>
        <v>6</v>
      </c>
      <c r="Z14" s="164">
        <f t="shared" si="10"/>
        <v>39</v>
      </c>
      <c r="AA14" s="164">
        <f t="shared" si="10"/>
        <v>0</v>
      </c>
      <c r="AB14" s="164">
        <f t="shared" si="10"/>
        <v>1</v>
      </c>
      <c r="AC14" s="81">
        <f t="shared" si="11"/>
        <v>17.5</v>
      </c>
      <c r="AD14" s="165">
        <f t="shared" si="5"/>
        <v>44</v>
      </c>
      <c r="AE14" s="166" t="s">
        <v>67</v>
      </c>
      <c r="AF14" s="164">
        <f>SUM(I11:I14)</f>
        <v>15</v>
      </c>
      <c r="AG14" s="164">
        <f t="shared" si="12"/>
        <v>34</v>
      </c>
      <c r="AH14" s="164">
        <f t="shared" si="12"/>
        <v>0</v>
      </c>
      <c r="AI14" s="164">
        <f t="shared" si="12"/>
        <v>1</v>
      </c>
      <c r="AJ14" s="165">
        <f>MAX(M11:M14)</f>
        <v>15.5</v>
      </c>
      <c r="AK14" s="165">
        <f t="shared" ref="AK14:AK21" si="16">+U14</f>
        <v>28</v>
      </c>
      <c r="AL14" s="166" t="s">
        <v>78</v>
      </c>
      <c r="AM14" s="1">
        <f>SUM(P11:P14)</f>
        <v>5</v>
      </c>
      <c r="AN14" s="1">
        <f t="shared" si="13"/>
        <v>23</v>
      </c>
      <c r="AO14" s="1">
        <f t="shared" si="13"/>
        <v>0</v>
      </c>
      <c r="AP14" s="1">
        <f t="shared" si="13"/>
        <v>1</v>
      </c>
      <c r="AQ14" s="81">
        <f t="shared" ref="AQ14:AQ21" si="17">MAX(T11:T14)</f>
        <v>11</v>
      </c>
    </row>
    <row r="15" spans="1:43" ht="24" customHeight="1">
      <c r="A15" s="18" t="s">
        <v>23</v>
      </c>
      <c r="B15" s="46">
        <v>4</v>
      </c>
      <c r="C15" s="46">
        <v>3</v>
      </c>
      <c r="D15" s="46">
        <v>0</v>
      </c>
      <c r="E15" s="46">
        <v>0</v>
      </c>
      <c r="F15" s="6">
        <f t="shared" si="2"/>
        <v>5</v>
      </c>
      <c r="G15" s="2">
        <f t="shared" si="14"/>
        <v>39.5</v>
      </c>
      <c r="H15" s="19" t="s">
        <v>12</v>
      </c>
      <c r="I15" s="46">
        <v>2</v>
      </c>
      <c r="J15" s="46">
        <v>10</v>
      </c>
      <c r="K15" s="46">
        <v>0</v>
      </c>
      <c r="L15" s="46">
        <v>0</v>
      </c>
      <c r="M15" s="6">
        <f t="shared" si="3"/>
        <v>11</v>
      </c>
      <c r="N15" s="2">
        <f>M12+M13+M14+M15</f>
        <v>51</v>
      </c>
      <c r="O15" s="18" t="s">
        <v>30</v>
      </c>
      <c r="P15" s="46">
        <v>1</v>
      </c>
      <c r="Q15" s="46">
        <v>6</v>
      </c>
      <c r="R15" s="46">
        <v>0</v>
      </c>
      <c r="S15" s="46">
        <v>0</v>
      </c>
      <c r="T15" s="6">
        <f t="shared" si="4"/>
        <v>6.5</v>
      </c>
      <c r="U15" s="2">
        <f t="shared" si="9"/>
        <v>27</v>
      </c>
      <c r="W15" s="165">
        <f t="shared" si="15"/>
        <v>39.5</v>
      </c>
      <c r="X15" s="166" t="s">
        <v>79</v>
      </c>
      <c r="Y15" s="164">
        <f t="shared" si="10"/>
        <v>8</v>
      </c>
      <c r="Z15" s="164">
        <f t="shared" si="10"/>
        <v>33</v>
      </c>
      <c r="AA15" s="164">
        <f t="shared" si="10"/>
        <v>0</v>
      </c>
      <c r="AB15" s="164">
        <f t="shared" si="10"/>
        <v>1</v>
      </c>
      <c r="AC15" s="81">
        <f t="shared" si="11"/>
        <v>17.5</v>
      </c>
      <c r="AD15" s="165">
        <f t="shared" si="5"/>
        <v>51</v>
      </c>
      <c r="AE15" s="166" t="s">
        <v>80</v>
      </c>
      <c r="AF15" s="164">
        <f t="shared" ref="AF15:AF22" si="18">SUM(I12:I15)</f>
        <v>13</v>
      </c>
      <c r="AG15" s="164">
        <f t="shared" si="12"/>
        <v>42</v>
      </c>
      <c r="AH15" s="164">
        <f t="shared" si="12"/>
        <v>0</v>
      </c>
      <c r="AI15" s="164">
        <f t="shared" si="12"/>
        <v>1</v>
      </c>
      <c r="AJ15" s="165">
        <f t="shared" ref="AJ15:AJ22" si="19">MAX(M12:M15)</f>
        <v>15.5</v>
      </c>
      <c r="AK15" s="165">
        <f t="shared" si="16"/>
        <v>27</v>
      </c>
      <c r="AL15" s="166" t="s">
        <v>81</v>
      </c>
      <c r="AM15" s="1">
        <f t="shared" ref="AM15:AM21" si="20">SUM(P12:P15)</f>
        <v>5</v>
      </c>
      <c r="AN15" s="1">
        <f t="shared" si="13"/>
        <v>22</v>
      </c>
      <c r="AO15" s="1">
        <f t="shared" si="13"/>
        <v>0</v>
      </c>
      <c r="AP15" s="1">
        <f t="shared" si="13"/>
        <v>1</v>
      </c>
      <c r="AQ15" s="81">
        <f t="shared" si="17"/>
        <v>11</v>
      </c>
    </row>
    <row r="16" spans="1:43" ht="24" customHeight="1">
      <c r="A16" s="18" t="s">
        <v>39</v>
      </c>
      <c r="B16" s="46">
        <v>2</v>
      </c>
      <c r="C16" s="46">
        <v>11</v>
      </c>
      <c r="D16" s="46">
        <v>0</v>
      </c>
      <c r="E16" s="46">
        <v>0</v>
      </c>
      <c r="F16" s="6">
        <f t="shared" si="2"/>
        <v>12</v>
      </c>
      <c r="G16" s="2">
        <f t="shared" si="14"/>
        <v>40</v>
      </c>
      <c r="H16" s="19" t="s">
        <v>15</v>
      </c>
      <c r="I16" s="46">
        <v>2</v>
      </c>
      <c r="J16" s="46">
        <v>8</v>
      </c>
      <c r="K16" s="46">
        <v>0</v>
      </c>
      <c r="L16" s="46">
        <v>0</v>
      </c>
      <c r="M16" s="6">
        <f t="shared" si="3"/>
        <v>9</v>
      </c>
      <c r="N16" s="2">
        <f t="shared" si="8"/>
        <v>44.5</v>
      </c>
      <c r="O16" s="19" t="s">
        <v>8</v>
      </c>
      <c r="P16" s="46">
        <v>2</v>
      </c>
      <c r="Q16" s="46">
        <v>10</v>
      </c>
      <c r="R16" s="46">
        <v>0</v>
      </c>
      <c r="S16" s="46">
        <v>0</v>
      </c>
      <c r="T16" s="6">
        <f t="shared" si="4"/>
        <v>11</v>
      </c>
      <c r="U16" s="2">
        <f t="shared" si="9"/>
        <v>27</v>
      </c>
      <c r="W16" s="165">
        <f t="shared" si="15"/>
        <v>40</v>
      </c>
      <c r="X16" s="166" t="s">
        <v>82</v>
      </c>
      <c r="Y16" s="164">
        <f t="shared" si="10"/>
        <v>9</v>
      </c>
      <c r="Z16" s="164">
        <f t="shared" si="10"/>
        <v>33</v>
      </c>
      <c r="AA16" s="164">
        <f t="shared" si="10"/>
        <v>0</v>
      </c>
      <c r="AB16" s="164">
        <f t="shared" si="10"/>
        <v>1</v>
      </c>
      <c r="AC16" s="81">
        <f t="shared" si="11"/>
        <v>17.5</v>
      </c>
      <c r="AD16" s="165">
        <f t="shared" si="5"/>
        <v>44.5</v>
      </c>
      <c r="AE16" s="166" t="s">
        <v>68</v>
      </c>
      <c r="AF16" s="164">
        <f t="shared" si="18"/>
        <v>12</v>
      </c>
      <c r="AG16" s="164">
        <f t="shared" si="12"/>
        <v>36</v>
      </c>
      <c r="AH16" s="164">
        <f t="shared" si="12"/>
        <v>0</v>
      </c>
      <c r="AI16" s="164">
        <f t="shared" si="12"/>
        <v>1</v>
      </c>
      <c r="AJ16" s="165">
        <f t="shared" si="19"/>
        <v>12.5</v>
      </c>
      <c r="AK16" s="165">
        <f t="shared" si="16"/>
        <v>27</v>
      </c>
      <c r="AL16" s="166" t="s">
        <v>83</v>
      </c>
      <c r="AM16" s="1">
        <f t="shared" si="20"/>
        <v>6</v>
      </c>
      <c r="AN16" s="1">
        <f t="shared" si="13"/>
        <v>24</v>
      </c>
      <c r="AO16" s="1">
        <f t="shared" si="13"/>
        <v>0</v>
      </c>
      <c r="AP16" s="1">
        <f t="shared" si="13"/>
        <v>0</v>
      </c>
      <c r="AQ16" s="81">
        <f t="shared" si="17"/>
        <v>11</v>
      </c>
    </row>
    <row r="17" spans="1:43" ht="24" customHeight="1">
      <c r="A17" s="18" t="s">
        <v>40</v>
      </c>
      <c r="B17" s="46">
        <v>3</v>
      </c>
      <c r="C17" s="46">
        <v>9</v>
      </c>
      <c r="D17" s="46">
        <v>0</v>
      </c>
      <c r="E17" s="46">
        <v>0</v>
      </c>
      <c r="F17" s="6">
        <f t="shared" si="2"/>
        <v>10.5</v>
      </c>
      <c r="G17" s="2">
        <f t="shared" si="14"/>
        <v>45</v>
      </c>
      <c r="H17" s="19" t="s">
        <v>18</v>
      </c>
      <c r="I17" s="46">
        <v>5</v>
      </c>
      <c r="J17" s="46">
        <v>7</v>
      </c>
      <c r="K17" s="46">
        <v>0</v>
      </c>
      <c r="L17" s="46">
        <v>0</v>
      </c>
      <c r="M17" s="6">
        <f t="shared" si="3"/>
        <v>9.5</v>
      </c>
      <c r="N17" s="2">
        <f t="shared" si="8"/>
        <v>41.5</v>
      </c>
      <c r="O17" s="19" t="s">
        <v>10</v>
      </c>
      <c r="P17" s="46">
        <v>1</v>
      </c>
      <c r="Q17" s="46">
        <v>14</v>
      </c>
      <c r="R17" s="46">
        <v>0</v>
      </c>
      <c r="S17" s="46">
        <v>0</v>
      </c>
      <c r="T17" s="6">
        <f t="shared" si="4"/>
        <v>14.5</v>
      </c>
      <c r="U17" s="2">
        <f t="shared" si="9"/>
        <v>33</v>
      </c>
      <c r="W17" s="165">
        <f t="shared" si="15"/>
        <v>45</v>
      </c>
      <c r="X17" s="166" t="s">
        <v>84</v>
      </c>
      <c r="Y17" s="164">
        <f t="shared" si="10"/>
        <v>11</v>
      </c>
      <c r="Z17" s="164">
        <f t="shared" si="10"/>
        <v>37</v>
      </c>
      <c r="AA17" s="164">
        <f t="shared" si="10"/>
        <v>0</v>
      </c>
      <c r="AB17" s="164">
        <f t="shared" si="10"/>
        <v>1</v>
      </c>
      <c r="AC17" s="81">
        <f t="shared" si="11"/>
        <v>17.5</v>
      </c>
      <c r="AD17" s="165">
        <f t="shared" si="5"/>
        <v>41.5</v>
      </c>
      <c r="AE17" s="166" t="s">
        <v>85</v>
      </c>
      <c r="AF17" s="164">
        <f t="shared" si="18"/>
        <v>12</v>
      </c>
      <c r="AG17" s="164">
        <f t="shared" si="12"/>
        <v>33</v>
      </c>
      <c r="AH17" s="164">
        <f t="shared" si="12"/>
        <v>0</v>
      </c>
      <c r="AI17" s="164">
        <f t="shared" si="12"/>
        <v>1</v>
      </c>
      <c r="AJ17" s="165">
        <f t="shared" si="19"/>
        <v>12</v>
      </c>
      <c r="AK17" s="165">
        <f t="shared" si="16"/>
        <v>33</v>
      </c>
      <c r="AL17" s="166" t="s">
        <v>86</v>
      </c>
      <c r="AM17" s="1">
        <f t="shared" si="20"/>
        <v>6</v>
      </c>
      <c r="AN17" s="1">
        <f t="shared" si="13"/>
        <v>30</v>
      </c>
      <c r="AO17" s="1">
        <f t="shared" si="13"/>
        <v>0</v>
      </c>
      <c r="AP17" s="1">
        <f t="shared" si="13"/>
        <v>0</v>
      </c>
      <c r="AQ17" s="81">
        <f t="shared" si="17"/>
        <v>14.5</v>
      </c>
    </row>
    <row r="18" spans="1:43" ht="24" customHeight="1">
      <c r="A18" s="18" t="s">
        <v>41</v>
      </c>
      <c r="B18" s="46">
        <v>0</v>
      </c>
      <c r="C18" s="46">
        <v>3</v>
      </c>
      <c r="D18" s="46">
        <v>0</v>
      </c>
      <c r="E18" s="46">
        <v>0</v>
      </c>
      <c r="F18" s="6">
        <f t="shared" si="2"/>
        <v>3</v>
      </c>
      <c r="G18" s="2">
        <f t="shared" si="14"/>
        <v>30.5</v>
      </c>
      <c r="H18" s="19" t="s">
        <v>20</v>
      </c>
      <c r="I18" s="46">
        <v>1</v>
      </c>
      <c r="J18" s="46">
        <v>11</v>
      </c>
      <c r="K18" s="46">
        <v>0</v>
      </c>
      <c r="L18" s="46">
        <v>0</v>
      </c>
      <c r="M18" s="6">
        <f t="shared" si="3"/>
        <v>11.5</v>
      </c>
      <c r="N18" s="2">
        <f t="shared" si="8"/>
        <v>41</v>
      </c>
      <c r="O18" s="19" t="s">
        <v>13</v>
      </c>
      <c r="P18" s="46">
        <v>3</v>
      </c>
      <c r="Q18" s="46">
        <v>10</v>
      </c>
      <c r="R18" s="46">
        <v>0</v>
      </c>
      <c r="S18" s="46">
        <v>0</v>
      </c>
      <c r="T18" s="6">
        <f t="shared" si="4"/>
        <v>11.5</v>
      </c>
      <c r="U18" s="2">
        <f t="shared" si="9"/>
        <v>43.5</v>
      </c>
      <c r="W18" s="165">
        <f t="shared" si="15"/>
        <v>30.5</v>
      </c>
      <c r="X18" s="166" t="s">
        <v>87</v>
      </c>
      <c r="Y18" s="164">
        <f t="shared" si="10"/>
        <v>9</v>
      </c>
      <c r="Z18" s="164">
        <f t="shared" si="10"/>
        <v>26</v>
      </c>
      <c r="AA18" s="164">
        <f t="shared" si="10"/>
        <v>0</v>
      </c>
      <c r="AB18" s="164">
        <f t="shared" si="10"/>
        <v>0</v>
      </c>
      <c r="AC18" s="81">
        <f t="shared" si="11"/>
        <v>12</v>
      </c>
      <c r="AD18" s="165">
        <f t="shared" si="5"/>
        <v>41</v>
      </c>
      <c r="AE18" s="166" t="s">
        <v>88</v>
      </c>
      <c r="AF18" s="164">
        <f t="shared" si="18"/>
        <v>10</v>
      </c>
      <c r="AG18" s="164">
        <f t="shared" si="12"/>
        <v>36</v>
      </c>
      <c r="AH18" s="164">
        <f t="shared" si="12"/>
        <v>0</v>
      </c>
      <c r="AI18" s="164">
        <f t="shared" si="12"/>
        <v>0</v>
      </c>
      <c r="AJ18" s="165">
        <f t="shared" si="19"/>
        <v>11.5</v>
      </c>
      <c r="AK18" s="165">
        <f t="shared" si="16"/>
        <v>43.5</v>
      </c>
      <c r="AL18" s="166" t="s">
        <v>69</v>
      </c>
      <c r="AM18" s="1">
        <f t="shared" si="20"/>
        <v>7</v>
      </c>
      <c r="AN18" s="1">
        <f t="shared" si="13"/>
        <v>40</v>
      </c>
      <c r="AO18" s="1">
        <f t="shared" si="13"/>
        <v>0</v>
      </c>
      <c r="AP18" s="1">
        <f t="shared" si="13"/>
        <v>0</v>
      </c>
      <c r="AQ18" s="81">
        <f t="shared" si="17"/>
        <v>14.5</v>
      </c>
    </row>
    <row r="19" spans="1:43" ht="24" customHeight="1" thickBot="1">
      <c r="A19" s="21" t="s">
        <v>42</v>
      </c>
      <c r="B19" s="47">
        <v>0</v>
      </c>
      <c r="C19" s="47">
        <v>4</v>
      </c>
      <c r="D19" s="47">
        <v>0</v>
      </c>
      <c r="E19" s="47">
        <v>0</v>
      </c>
      <c r="F19" s="7">
        <f t="shared" si="2"/>
        <v>4</v>
      </c>
      <c r="G19" s="3">
        <f t="shared" si="14"/>
        <v>29.5</v>
      </c>
      <c r="H19" s="20" t="s">
        <v>22</v>
      </c>
      <c r="I19" s="45">
        <v>5</v>
      </c>
      <c r="J19" s="45">
        <v>11</v>
      </c>
      <c r="K19" s="45">
        <v>0</v>
      </c>
      <c r="L19" s="45">
        <v>0</v>
      </c>
      <c r="M19" s="6">
        <f t="shared" si="3"/>
        <v>13.5</v>
      </c>
      <c r="N19" s="2">
        <f>M16+M17+M18+M19</f>
        <v>43.5</v>
      </c>
      <c r="O19" s="19" t="s">
        <v>16</v>
      </c>
      <c r="P19" s="46">
        <v>1</v>
      </c>
      <c r="Q19" s="46">
        <v>8</v>
      </c>
      <c r="R19" s="46">
        <v>0</v>
      </c>
      <c r="S19" s="46">
        <v>0</v>
      </c>
      <c r="T19" s="6">
        <f t="shared" si="4"/>
        <v>8.5</v>
      </c>
      <c r="U19" s="2">
        <f t="shared" si="9"/>
        <v>45.5</v>
      </c>
      <c r="W19" s="165">
        <f t="shared" si="15"/>
        <v>29.5</v>
      </c>
      <c r="X19" s="166" t="s">
        <v>89</v>
      </c>
      <c r="Y19" s="164">
        <f t="shared" si="10"/>
        <v>5</v>
      </c>
      <c r="Z19" s="164">
        <f t="shared" si="10"/>
        <v>27</v>
      </c>
      <c r="AA19" s="164">
        <f t="shared" si="10"/>
        <v>0</v>
      </c>
      <c r="AB19" s="164">
        <f t="shared" si="10"/>
        <v>0</v>
      </c>
      <c r="AC19" s="81">
        <f t="shared" si="11"/>
        <v>12</v>
      </c>
      <c r="AD19" s="165">
        <f t="shared" si="5"/>
        <v>43.5</v>
      </c>
      <c r="AE19" s="166" t="s">
        <v>90</v>
      </c>
      <c r="AF19" s="164">
        <f t="shared" si="18"/>
        <v>13</v>
      </c>
      <c r="AG19" s="164">
        <f t="shared" si="12"/>
        <v>37</v>
      </c>
      <c r="AH19" s="164">
        <f t="shared" si="12"/>
        <v>0</v>
      </c>
      <c r="AI19" s="164">
        <f t="shared" si="12"/>
        <v>0</v>
      </c>
      <c r="AJ19" s="165">
        <f t="shared" si="19"/>
        <v>13.5</v>
      </c>
      <c r="AK19" s="165">
        <f t="shared" si="16"/>
        <v>45.5</v>
      </c>
      <c r="AL19" s="166" t="s">
        <v>91</v>
      </c>
      <c r="AM19" s="1">
        <f t="shared" si="20"/>
        <v>7</v>
      </c>
      <c r="AN19" s="1">
        <f t="shared" si="13"/>
        <v>42</v>
      </c>
      <c r="AO19" s="1">
        <f t="shared" si="13"/>
        <v>0</v>
      </c>
      <c r="AP19" s="1">
        <f t="shared" si="13"/>
        <v>0</v>
      </c>
      <c r="AQ19" s="81">
        <f t="shared" si="17"/>
        <v>14.5</v>
      </c>
    </row>
    <row r="20" spans="1:43" ht="24" customHeight="1">
      <c r="A20" s="19" t="s">
        <v>27</v>
      </c>
      <c r="B20" s="45">
        <v>2</v>
      </c>
      <c r="C20" s="45">
        <v>7</v>
      </c>
      <c r="D20" s="45">
        <v>0</v>
      </c>
      <c r="E20" s="45">
        <v>0</v>
      </c>
      <c r="F20" s="8">
        <f t="shared" si="2"/>
        <v>8</v>
      </c>
      <c r="G20" s="35"/>
      <c r="H20" s="19" t="s">
        <v>24</v>
      </c>
      <c r="I20" s="46">
        <v>5</v>
      </c>
      <c r="J20" s="46">
        <v>6</v>
      </c>
      <c r="K20" s="46">
        <v>0</v>
      </c>
      <c r="L20" s="46">
        <v>0</v>
      </c>
      <c r="M20" s="6">
        <f t="shared" si="3"/>
        <v>8.5</v>
      </c>
      <c r="N20" s="2">
        <f>M17+M18+M19+M20</f>
        <v>43</v>
      </c>
      <c r="O20" s="19" t="s">
        <v>45</v>
      </c>
      <c r="P20" s="45">
        <v>2</v>
      </c>
      <c r="Q20" s="45">
        <v>11</v>
      </c>
      <c r="R20" s="45">
        <v>0</v>
      </c>
      <c r="S20" s="45">
        <v>0</v>
      </c>
      <c r="T20" s="8">
        <f t="shared" si="4"/>
        <v>12</v>
      </c>
      <c r="U20" s="2">
        <f>T17+T18+T19+T20</f>
        <v>46.5</v>
      </c>
      <c r="W20" s="168" t="s">
        <v>152</v>
      </c>
      <c r="X20" s="168" t="s">
        <v>152</v>
      </c>
      <c r="Y20" s="168" t="s">
        <v>152</v>
      </c>
      <c r="Z20" s="168" t="s">
        <v>152</v>
      </c>
      <c r="AA20" s="168" t="s">
        <v>152</v>
      </c>
      <c r="AB20" s="168" t="s">
        <v>152</v>
      </c>
      <c r="AC20" s="168" t="s">
        <v>152</v>
      </c>
      <c r="AD20" s="165">
        <f t="shared" si="5"/>
        <v>43</v>
      </c>
      <c r="AE20" s="166" t="s">
        <v>92</v>
      </c>
      <c r="AF20" s="164">
        <f t="shared" si="18"/>
        <v>16</v>
      </c>
      <c r="AG20" s="164">
        <f t="shared" si="12"/>
        <v>35</v>
      </c>
      <c r="AH20" s="164">
        <f t="shared" si="12"/>
        <v>0</v>
      </c>
      <c r="AI20" s="164">
        <f t="shared" si="12"/>
        <v>0</v>
      </c>
      <c r="AJ20" s="165">
        <f t="shared" si="19"/>
        <v>13.5</v>
      </c>
      <c r="AK20" s="165">
        <f t="shared" si="16"/>
        <v>46.5</v>
      </c>
      <c r="AL20" s="166" t="s">
        <v>70</v>
      </c>
      <c r="AM20" s="1">
        <f t="shared" si="20"/>
        <v>7</v>
      </c>
      <c r="AN20" s="1">
        <f t="shared" si="13"/>
        <v>43</v>
      </c>
      <c r="AO20" s="1">
        <f t="shared" si="13"/>
        <v>0</v>
      </c>
      <c r="AP20" s="1">
        <f t="shared" si="13"/>
        <v>0</v>
      </c>
      <c r="AQ20" s="81">
        <f t="shared" si="17"/>
        <v>14.5</v>
      </c>
    </row>
    <row r="21" spans="1:43" ht="24" customHeight="1" thickBot="1">
      <c r="A21" s="19" t="s">
        <v>28</v>
      </c>
      <c r="B21" s="46">
        <v>0</v>
      </c>
      <c r="C21" s="46">
        <v>9</v>
      </c>
      <c r="D21" s="46">
        <v>0</v>
      </c>
      <c r="E21" s="46">
        <v>0</v>
      </c>
      <c r="F21" s="6">
        <f t="shared" si="2"/>
        <v>9</v>
      </c>
      <c r="G21" s="36"/>
      <c r="H21" s="20" t="s">
        <v>25</v>
      </c>
      <c r="I21" s="46">
        <v>1</v>
      </c>
      <c r="J21" s="46">
        <v>7</v>
      </c>
      <c r="K21" s="46">
        <v>0</v>
      </c>
      <c r="L21" s="46">
        <v>0</v>
      </c>
      <c r="M21" s="6">
        <f t="shared" si="3"/>
        <v>7.5</v>
      </c>
      <c r="N21" s="2">
        <f>M18+M19+M20+M21</f>
        <v>41</v>
      </c>
      <c r="O21" s="21" t="s">
        <v>46</v>
      </c>
      <c r="P21" s="47">
        <v>0</v>
      </c>
      <c r="Q21" s="47">
        <v>9</v>
      </c>
      <c r="R21" s="47">
        <v>0</v>
      </c>
      <c r="S21" s="47">
        <v>0</v>
      </c>
      <c r="T21" s="7">
        <f t="shared" si="4"/>
        <v>9</v>
      </c>
      <c r="U21" s="3">
        <f t="shared" si="9"/>
        <v>41</v>
      </c>
      <c r="W21" s="168" t="s">
        <v>152</v>
      </c>
      <c r="X21" s="168" t="s">
        <v>152</v>
      </c>
      <c r="Y21" s="168" t="s">
        <v>152</v>
      </c>
      <c r="Z21" s="168" t="s">
        <v>152</v>
      </c>
      <c r="AA21" s="168" t="s">
        <v>152</v>
      </c>
      <c r="AB21" s="168" t="s">
        <v>152</v>
      </c>
      <c r="AC21" s="168" t="s">
        <v>152</v>
      </c>
      <c r="AD21" s="165">
        <f t="shared" si="5"/>
        <v>41</v>
      </c>
      <c r="AE21" s="166" t="s">
        <v>71</v>
      </c>
      <c r="AF21" s="164">
        <f t="shared" si="18"/>
        <v>12</v>
      </c>
      <c r="AG21" s="164">
        <f t="shared" si="12"/>
        <v>35</v>
      </c>
      <c r="AH21" s="164">
        <f t="shared" si="12"/>
        <v>0</v>
      </c>
      <c r="AI21" s="164">
        <f t="shared" si="12"/>
        <v>0</v>
      </c>
      <c r="AJ21" s="165">
        <f t="shared" si="19"/>
        <v>13.5</v>
      </c>
      <c r="AK21" s="165">
        <f t="shared" si="16"/>
        <v>41</v>
      </c>
      <c r="AL21" s="166" t="s">
        <v>72</v>
      </c>
      <c r="AM21" s="1">
        <f t="shared" si="20"/>
        <v>6</v>
      </c>
      <c r="AN21" s="1">
        <f t="shared" si="13"/>
        <v>38</v>
      </c>
      <c r="AO21" s="1">
        <f t="shared" si="13"/>
        <v>0</v>
      </c>
      <c r="AP21" s="1">
        <f t="shared" si="13"/>
        <v>0</v>
      </c>
      <c r="AQ21" s="81">
        <f t="shared" si="17"/>
        <v>12</v>
      </c>
    </row>
    <row r="22" spans="1:43" ht="24" customHeight="1" thickBot="1">
      <c r="A22" s="19" t="s">
        <v>1</v>
      </c>
      <c r="B22" s="46">
        <v>1</v>
      </c>
      <c r="C22" s="46">
        <v>5</v>
      </c>
      <c r="D22" s="46">
        <v>0</v>
      </c>
      <c r="E22" s="46">
        <v>0</v>
      </c>
      <c r="F22" s="6">
        <f t="shared" si="2"/>
        <v>5.5</v>
      </c>
      <c r="G22" s="2"/>
      <c r="H22" s="21" t="s">
        <v>26</v>
      </c>
      <c r="I22" s="47">
        <v>2</v>
      </c>
      <c r="J22" s="47">
        <v>5</v>
      </c>
      <c r="K22" s="47">
        <v>0</v>
      </c>
      <c r="L22" s="47">
        <v>0</v>
      </c>
      <c r="M22" s="6">
        <f t="shared" si="3"/>
        <v>6</v>
      </c>
      <c r="N22" s="3">
        <f>M19+M20+M21+M22</f>
        <v>35.5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8" t="s">
        <v>152</v>
      </c>
      <c r="Z22" s="168" t="s">
        <v>152</v>
      </c>
      <c r="AA22" s="168" t="s">
        <v>152</v>
      </c>
      <c r="AB22" s="168" t="s">
        <v>152</v>
      </c>
      <c r="AC22" s="168" t="s">
        <v>152</v>
      </c>
      <c r="AD22" s="165">
        <f t="shared" si="5"/>
        <v>35.5</v>
      </c>
      <c r="AE22" s="166" t="s">
        <v>93</v>
      </c>
      <c r="AF22" s="164">
        <f t="shared" si="18"/>
        <v>13</v>
      </c>
      <c r="AG22" s="164">
        <f t="shared" si="12"/>
        <v>29</v>
      </c>
      <c r="AH22" s="164">
        <f t="shared" si="12"/>
        <v>0</v>
      </c>
      <c r="AI22" s="164">
        <f t="shared" si="12"/>
        <v>0</v>
      </c>
      <c r="AJ22" s="165">
        <f t="shared" si="19"/>
        <v>13.5</v>
      </c>
      <c r="AK22" s="168" t="s">
        <v>152</v>
      </c>
      <c r="AL22" s="168" t="s">
        <v>152</v>
      </c>
      <c r="AM22" s="168" t="s">
        <v>152</v>
      </c>
      <c r="AN22" s="168" t="s">
        <v>152</v>
      </c>
      <c r="AO22" s="168" t="s">
        <v>152</v>
      </c>
      <c r="AP22" s="168" t="s">
        <v>152</v>
      </c>
      <c r="AQ22" s="168" t="s">
        <v>152</v>
      </c>
    </row>
    <row r="23" spans="1:43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45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51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46.5</v>
      </c>
      <c r="W23" s="1"/>
      <c r="X23" s="1"/>
      <c r="Y23" s="1"/>
      <c r="Z23" s="1"/>
      <c r="AA23" s="1"/>
      <c r="AB23" s="1"/>
      <c r="AC23" s="1"/>
    </row>
    <row r="24" spans="1:43" ht="13.5" customHeight="1">
      <c r="A24" s="352"/>
      <c r="B24" s="353"/>
      <c r="C24" s="82" t="s">
        <v>73</v>
      </c>
      <c r="D24" s="86"/>
      <c r="E24" s="86"/>
      <c r="F24" s="87" t="s">
        <v>66</v>
      </c>
      <c r="G24" s="88"/>
      <c r="H24" s="352"/>
      <c r="I24" s="353"/>
      <c r="J24" s="82" t="s">
        <v>73</v>
      </c>
      <c r="K24" s="86"/>
      <c r="L24" s="86"/>
      <c r="M24" s="87" t="s">
        <v>80</v>
      </c>
      <c r="N24" s="88"/>
      <c r="O24" s="352"/>
      <c r="P24" s="353"/>
      <c r="Q24" s="82" t="s">
        <v>73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  <c r="AC24" s="1"/>
    </row>
    <row r="25" spans="1:43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43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W26" s="169"/>
    </row>
    <row r="27" spans="1:43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W27" s="167"/>
    </row>
    <row r="28" spans="1:4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W28" s="167"/>
    </row>
    <row r="29" spans="1:43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7"/>
    </row>
    <row r="30" spans="1:4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4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4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W7:X7"/>
    <mergeCell ref="AD7:AE7"/>
    <mergeCell ref="AK7:AL7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workbookViewId="0">
      <selection activeCell="T24" sqref="T24"/>
    </sheetView>
  </sheetViews>
  <sheetFormatPr baseColWidth="10" defaultColWidth="11.5703125" defaultRowHeight="12.75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140625" customWidth="1"/>
    <col min="23" max="23" width="7.7109375" hidden="1" customWidth="1"/>
    <col min="24" max="24" width="10.42578125" hidden="1" customWidth="1"/>
    <col min="25" max="25" width="9" style="1" hidden="1" customWidth="1"/>
    <col min="26" max="26" width="11.5703125" style="1" hidden="1" customWidth="1"/>
    <col min="27" max="27" width="7.28515625" style="1" hidden="1" customWidth="1"/>
    <col min="28" max="28" width="11.5703125" style="1" hidden="1" customWidth="1"/>
    <col min="29" max="16384" width="11.5703125" style="1"/>
  </cols>
  <sheetData>
    <row r="1" spans="1:28" ht="21.75" customHeight="1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>
      <c r="A3" s="369" t="s">
        <v>62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</row>
    <row r="4" spans="1:28" ht="7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>
      <c r="A5" s="368" t="s">
        <v>54</v>
      </c>
      <c r="B5" s="368"/>
      <c r="C5" s="368"/>
      <c r="D5" s="26"/>
      <c r="E5" s="371" t="str">
        <f>'G-1'!E4:H4</f>
        <v>DE OBRA</v>
      </c>
      <c r="F5" s="371"/>
      <c r="G5" s="371"/>
      <c r="H5" s="3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>
      <c r="A6" s="366" t="s">
        <v>56</v>
      </c>
      <c r="B6" s="366"/>
      <c r="C6" s="366"/>
      <c r="D6" s="371" t="str">
        <f>'G-1'!D5:H5</f>
        <v>CALLE 81 - CARRERA 69</v>
      </c>
      <c r="E6" s="371"/>
      <c r="F6" s="371"/>
      <c r="G6" s="371"/>
      <c r="H6" s="371"/>
      <c r="I6" s="366" t="s">
        <v>53</v>
      </c>
      <c r="J6" s="366"/>
      <c r="K6" s="366"/>
      <c r="L6" s="372">
        <f>'G-1'!L5:N5</f>
        <v>0</v>
      </c>
      <c r="M6" s="372"/>
      <c r="N6" s="372"/>
      <c r="O6" s="12"/>
      <c r="P6" s="366" t="s">
        <v>58</v>
      </c>
      <c r="Q6" s="366"/>
      <c r="R6" s="366"/>
      <c r="S6" s="401">
        <f>'G-1'!S6:U6</f>
        <v>42892</v>
      </c>
      <c r="T6" s="401"/>
      <c r="U6" s="401"/>
    </row>
    <row r="7" spans="1:28" ht="7.5" customHeight="1">
      <c r="A7" s="13"/>
      <c r="B7" s="11"/>
      <c r="C7" s="11"/>
      <c r="D7" s="11"/>
      <c r="E7" s="360"/>
      <c r="F7" s="360"/>
      <c r="G7" s="360"/>
      <c r="H7" s="360"/>
      <c r="I7" s="360"/>
      <c r="J7" s="360"/>
      <c r="K7" s="36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>
      <c r="A8" s="354" t="s">
        <v>36</v>
      </c>
      <c r="B8" s="357" t="s">
        <v>34</v>
      </c>
      <c r="C8" s="358"/>
      <c r="D8" s="358"/>
      <c r="E8" s="359"/>
      <c r="F8" s="354" t="s">
        <v>35</v>
      </c>
      <c r="G8" s="354" t="s">
        <v>37</v>
      </c>
      <c r="H8" s="354" t="s">
        <v>36</v>
      </c>
      <c r="I8" s="357" t="s">
        <v>34</v>
      </c>
      <c r="J8" s="358"/>
      <c r="K8" s="358"/>
      <c r="L8" s="359"/>
      <c r="M8" s="354" t="s">
        <v>35</v>
      </c>
      <c r="N8" s="354" t="s">
        <v>37</v>
      </c>
      <c r="O8" s="354" t="s">
        <v>36</v>
      </c>
      <c r="P8" s="357" t="s">
        <v>34</v>
      </c>
      <c r="Q8" s="358"/>
      <c r="R8" s="358"/>
      <c r="S8" s="359"/>
      <c r="T8" s="354" t="s">
        <v>35</v>
      </c>
      <c r="U8" s="354" t="s">
        <v>37</v>
      </c>
      <c r="W8" s="168">
        <v>1</v>
      </c>
      <c r="X8" s="168">
        <v>2</v>
      </c>
      <c r="Y8" s="168">
        <v>1</v>
      </c>
      <c r="Z8" s="168">
        <v>2</v>
      </c>
      <c r="AA8" s="168">
        <v>1</v>
      </c>
      <c r="AB8" s="168">
        <v>2</v>
      </c>
    </row>
    <row r="9" spans="1:28" ht="12" customHeight="1">
      <c r="A9" s="356"/>
      <c r="B9" s="15" t="s">
        <v>52</v>
      </c>
      <c r="C9" s="15" t="s">
        <v>0</v>
      </c>
      <c r="D9" s="15" t="s">
        <v>2</v>
      </c>
      <c r="E9" s="16" t="s">
        <v>3</v>
      </c>
      <c r="F9" s="356"/>
      <c r="G9" s="356"/>
      <c r="H9" s="356"/>
      <c r="I9" s="17" t="s">
        <v>52</v>
      </c>
      <c r="J9" s="17" t="s">
        <v>0</v>
      </c>
      <c r="K9" s="15" t="s">
        <v>2</v>
      </c>
      <c r="L9" s="16" t="s">
        <v>3</v>
      </c>
      <c r="M9" s="356"/>
      <c r="N9" s="356"/>
      <c r="O9" s="356"/>
      <c r="P9" s="17" t="s">
        <v>52</v>
      </c>
      <c r="Q9" s="17" t="s">
        <v>0</v>
      </c>
      <c r="R9" s="15" t="s">
        <v>2</v>
      </c>
      <c r="S9" s="16" t="s">
        <v>3</v>
      </c>
      <c r="T9" s="356"/>
      <c r="U9" s="356"/>
      <c r="W9" s="205"/>
      <c r="X9" s="205"/>
      <c r="Y9" s="204"/>
      <c r="Z9" s="204"/>
      <c r="AA9" s="203"/>
      <c r="AB9" s="203"/>
    </row>
    <row r="10" spans="1:28" ht="24" customHeight="1">
      <c r="A10" s="18" t="s">
        <v>11</v>
      </c>
      <c r="B10" s="46">
        <f>'G-1'!B10+'G-2'!B10+'G-3'!B10+'G-4'!B10</f>
        <v>10</v>
      </c>
      <c r="C10" s="46">
        <f>'G-1'!C10+'G-2'!C10+'G-3'!C10+'G-4'!C10</f>
        <v>44</v>
      </c>
      <c r="D10" s="46">
        <f>'G-1'!D10+'G-2'!D10+'G-3'!D10+'G-4'!D10</f>
        <v>0</v>
      </c>
      <c r="E10" s="46">
        <f>'G-1'!E10+'G-2'!E10+'G-3'!E10+'G-4'!E10</f>
        <v>2</v>
      </c>
      <c r="F10" s="6">
        <f t="shared" ref="F10:F22" si="0">B10*0.5+C10*1+D10*2+E10*2.5</f>
        <v>54</v>
      </c>
      <c r="G10" s="2"/>
      <c r="H10" s="19" t="s">
        <v>4</v>
      </c>
      <c r="I10" s="46">
        <f>'G-1'!I10+'G-2'!I10+'G-3'!I10+'G-4'!I10</f>
        <v>23</v>
      </c>
      <c r="J10" s="46">
        <f>'G-1'!J10+'G-2'!J10+'G-3'!J10+'G-4'!J10</f>
        <v>22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33.5</v>
      </c>
      <c r="N10" s="9">
        <f>F20+F21+F22+M10</f>
        <v>188</v>
      </c>
      <c r="O10" s="19" t="s">
        <v>43</v>
      </c>
      <c r="P10" s="46">
        <f>'G-1'!P10+'G-2'!P10+'G-3'!P10+'G-4'!P10</f>
        <v>15</v>
      </c>
      <c r="Q10" s="46">
        <f>'G-1'!Q10+'G-2'!Q10+'G-3'!Q10+'G-4'!Q10</f>
        <v>36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43.5</v>
      </c>
      <c r="U10" s="10"/>
      <c r="W10" s="164" t="s">
        <v>152</v>
      </c>
      <c r="X10" s="166" t="s">
        <v>152</v>
      </c>
      <c r="Y10" s="165">
        <f>+N10</f>
        <v>188</v>
      </c>
      <c r="Z10" s="166" t="s">
        <v>74</v>
      </c>
      <c r="AA10" s="168" t="s">
        <v>152</v>
      </c>
      <c r="AB10" s="168" t="s">
        <v>152</v>
      </c>
    </row>
    <row r="11" spans="1:28" ht="24" customHeight="1">
      <c r="A11" s="18" t="s">
        <v>14</v>
      </c>
      <c r="B11" s="46">
        <f>'G-1'!B11+'G-2'!B11+'G-3'!B11+'G-4'!B11</f>
        <v>11</v>
      </c>
      <c r="C11" s="46">
        <f>'G-1'!C11+'G-2'!C11+'G-3'!C11+'G-4'!C11</f>
        <v>46</v>
      </c>
      <c r="D11" s="46">
        <f>'G-1'!D11+'G-2'!D11+'G-3'!D11+'G-4'!D11</f>
        <v>0</v>
      </c>
      <c r="E11" s="46">
        <f>'G-1'!E11+'G-2'!E11+'G-3'!E11+'G-4'!E11</f>
        <v>1</v>
      </c>
      <c r="F11" s="6">
        <f t="shared" si="0"/>
        <v>54</v>
      </c>
      <c r="G11" s="2"/>
      <c r="H11" s="19" t="s">
        <v>5</v>
      </c>
      <c r="I11" s="46">
        <f>'G-1'!I11+'G-2'!I11+'G-3'!I11+'G-4'!I11</f>
        <v>20</v>
      </c>
      <c r="J11" s="46">
        <f>'G-1'!J11+'G-2'!J11+'G-3'!J11+'G-4'!J11</f>
        <v>23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33</v>
      </c>
      <c r="N11" s="9">
        <f>F21+F22+M10+M11</f>
        <v>175</v>
      </c>
      <c r="O11" s="19" t="s">
        <v>44</v>
      </c>
      <c r="P11" s="46">
        <f>'G-1'!P11+'G-2'!P11+'G-3'!P11+'G-4'!P11</f>
        <v>18</v>
      </c>
      <c r="Q11" s="46">
        <f>'G-1'!Q11+'G-2'!Q11+'G-3'!Q11+'G-4'!Q11</f>
        <v>37</v>
      </c>
      <c r="R11" s="46">
        <f>'G-1'!R11+'G-2'!R11+'G-3'!R11+'G-4'!R11</f>
        <v>0</v>
      </c>
      <c r="S11" s="46">
        <f>'G-1'!S11+'G-2'!S11+'G-3'!S11+'G-4'!S11</f>
        <v>2</v>
      </c>
      <c r="T11" s="6">
        <f t="shared" si="2"/>
        <v>51</v>
      </c>
      <c r="U11" s="2"/>
      <c r="W11" s="164" t="s">
        <v>152</v>
      </c>
      <c r="X11" s="166" t="s">
        <v>152</v>
      </c>
      <c r="Y11" s="165">
        <f t="shared" ref="Y11:Y22" si="3">+N11</f>
        <v>175</v>
      </c>
      <c r="Z11" s="166" t="s">
        <v>64</v>
      </c>
      <c r="AA11" s="168" t="s">
        <v>152</v>
      </c>
      <c r="AB11" s="168" t="s">
        <v>152</v>
      </c>
    </row>
    <row r="12" spans="1:28" ht="24" customHeight="1">
      <c r="A12" s="18" t="s">
        <v>17</v>
      </c>
      <c r="B12" s="46">
        <f>'G-1'!B12+'G-2'!B12+'G-3'!B12+'G-4'!B12</f>
        <v>6</v>
      </c>
      <c r="C12" s="46">
        <f>'G-1'!C12+'G-2'!C12+'G-3'!C12+'G-4'!C12</f>
        <v>49</v>
      </c>
      <c r="D12" s="46">
        <f>'G-1'!D12+'G-2'!D12+'G-3'!D12+'G-4'!D12</f>
        <v>0</v>
      </c>
      <c r="E12" s="46">
        <f>'G-1'!E12+'G-2'!E12+'G-3'!E12+'G-4'!E12</f>
        <v>2</v>
      </c>
      <c r="F12" s="6">
        <f t="shared" si="0"/>
        <v>57</v>
      </c>
      <c r="G12" s="2"/>
      <c r="H12" s="19" t="s">
        <v>6</v>
      </c>
      <c r="I12" s="46">
        <f>'G-1'!I12+'G-2'!I12+'G-3'!I12+'G-4'!I12</f>
        <v>20</v>
      </c>
      <c r="J12" s="46">
        <f>'G-1'!J12+'G-2'!J12+'G-3'!J12+'G-4'!J12</f>
        <v>45</v>
      </c>
      <c r="K12" s="46">
        <f>'G-1'!K12+'G-2'!K12+'G-3'!K12+'G-4'!K12</f>
        <v>0</v>
      </c>
      <c r="L12" s="46">
        <f>'G-1'!L12+'G-2'!L12+'G-3'!L12+'G-4'!L12</f>
        <v>1</v>
      </c>
      <c r="M12" s="6">
        <f t="shared" si="1"/>
        <v>57.5</v>
      </c>
      <c r="N12" s="2">
        <f>F22+M10+M11+M12</f>
        <v>172.5</v>
      </c>
      <c r="O12" s="19" t="s">
        <v>32</v>
      </c>
      <c r="P12" s="46">
        <f>'G-1'!P12+'G-2'!P12+'G-3'!P12+'G-4'!P12</f>
        <v>13</v>
      </c>
      <c r="Q12" s="46">
        <f>'G-1'!Q12+'G-2'!Q12+'G-3'!Q12+'G-4'!Q12</f>
        <v>43</v>
      </c>
      <c r="R12" s="46">
        <f>'G-1'!R12+'G-2'!R12+'G-3'!R12+'G-4'!R12</f>
        <v>0</v>
      </c>
      <c r="S12" s="46">
        <f>'G-1'!S12+'G-2'!S12+'G-3'!S12+'G-4'!S12</f>
        <v>1</v>
      </c>
      <c r="T12" s="6">
        <f t="shared" si="2"/>
        <v>52</v>
      </c>
      <c r="U12" s="2"/>
      <c r="W12" s="164" t="s">
        <v>152</v>
      </c>
      <c r="X12" s="166" t="s">
        <v>152</v>
      </c>
      <c r="Y12" s="165">
        <f t="shared" si="3"/>
        <v>172.5</v>
      </c>
      <c r="Z12" s="166" t="s">
        <v>75</v>
      </c>
      <c r="AA12" s="168" t="s">
        <v>152</v>
      </c>
      <c r="AB12" s="168" t="s">
        <v>152</v>
      </c>
    </row>
    <row r="13" spans="1:28" ht="24" customHeight="1">
      <c r="A13" s="18" t="s">
        <v>19</v>
      </c>
      <c r="B13" s="46">
        <f>'G-1'!B13+'G-2'!B13+'G-3'!B13+'G-4'!B13</f>
        <v>7</v>
      </c>
      <c r="C13" s="46">
        <f>'G-1'!C13+'G-2'!C13+'G-3'!C13+'G-4'!C13</f>
        <v>39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42.5</v>
      </c>
      <c r="G13" s="2">
        <f t="shared" ref="G13:G19" si="4">F10+F11+F12+F13</f>
        <v>207.5</v>
      </c>
      <c r="H13" s="19" t="s">
        <v>7</v>
      </c>
      <c r="I13" s="46">
        <f>'G-1'!I13+'G-2'!I13+'G-3'!I13+'G-4'!I13</f>
        <v>19</v>
      </c>
      <c r="J13" s="46">
        <f>'G-1'!J13+'G-2'!J13+'G-3'!J13+'G-4'!J13</f>
        <v>37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46.5</v>
      </c>
      <c r="N13" s="2">
        <f t="shared" ref="N13:N18" si="5">M10+M11+M12+M13</f>
        <v>170.5</v>
      </c>
      <c r="O13" s="19" t="s">
        <v>33</v>
      </c>
      <c r="P13" s="46">
        <f>'G-1'!P13+'G-2'!P13+'G-3'!P13+'G-4'!P13</f>
        <v>18</v>
      </c>
      <c r="Q13" s="46">
        <f>'G-1'!Q13+'G-2'!Q13+'G-3'!Q13+'G-4'!Q13</f>
        <v>46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55</v>
      </c>
      <c r="U13" s="2">
        <f t="shared" ref="U13:U21" si="6">T10+T11+T12+T13</f>
        <v>201.5</v>
      </c>
      <c r="W13" s="165">
        <f>+G13</f>
        <v>207.5</v>
      </c>
      <c r="X13" s="166" t="s">
        <v>65</v>
      </c>
      <c r="Y13" s="165">
        <f t="shared" si="3"/>
        <v>170.5</v>
      </c>
      <c r="Z13" s="166" t="s">
        <v>76</v>
      </c>
      <c r="AA13" s="165">
        <f>+U13</f>
        <v>201.5</v>
      </c>
      <c r="AB13" s="166" t="s">
        <v>77</v>
      </c>
    </row>
    <row r="14" spans="1:28" ht="24" customHeight="1">
      <c r="A14" s="18" t="s">
        <v>21</v>
      </c>
      <c r="B14" s="46">
        <f>'G-1'!B14+'G-2'!B14+'G-3'!B14+'G-4'!B14</f>
        <v>7</v>
      </c>
      <c r="C14" s="46">
        <f>'G-1'!C14+'G-2'!C14+'G-3'!C14+'G-4'!C14</f>
        <v>43</v>
      </c>
      <c r="D14" s="46">
        <f>'G-1'!D14+'G-2'!D14+'G-3'!D14+'G-4'!D14</f>
        <v>0</v>
      </c>
      <c r="E14" s="46">
        <f>'G-1'!E14+'G-2'!E14+'G-3'!E14+'G-4'!E14</f>
        <v>3</v>
      </c>
      <c r="F14" s="6">
        <f t="shared" si="0"/>
        <v>54</v>
      </c>
      <c r="G14" s="2">
        <f t="shared" si="4"/>
        <v>207.5</v>
      </c>
      <c r="H14" s="19" t="s">
        <v>9</v>
      </c>
      <c r="I14" s="46">
        <f>'G-1'!I14+'G-2'!I14+'G-3'!I14+'G-4'!I14</f>
        <v>15</v>
      </c>
      <c r="J14" s="46">
        <f>'G-1'!J14+'G-2'!J14+'G-3'!J14+'G-4'!J14</f>
        <v>29</v>
      </c>
      <c r="K14" s="46">
        <f>'G-1'!K14+'G-2'!K14+'G-3'!K14+'G-4'!K14</f>
        <v>0</v>
      </c>
      <c r="L14" s="46">
        <f>'G-1'!L14+'G-2'!L14+'G-3'!L14+'G-4'!L14</f>
        <v>2</v>
      </c>
      <c r="M14" s="6">
        <f t="shared" si="1"/>
        <v>41.5</v>
      </c>
      <c r="N14" s="2">
        <f t="shared" si="5"/>
        <v>178.5</v>
      </c>
      <c r="O14" s="19" t="s">
        <v>29</v>
      </c>
      <c r="P14" s="46">
        <f>'G-1'!P14+'G-2'!P14+'G-3'!P14+'G-4'!P14</f>
        <v>16</v>
      </c>
      <c r="Q14" s="46">
        <f>'G-1'!Q14+'G-2'!Q14+'G-3'!Q14+'G-4'!Q14</f>
        <v>29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37</v>
      </c>
      <c r="U14" s="2">
        <f t="shared" si="6"/>
        <v>195</v>
      </c>
      <c r="W14" s="165">
        <f t="shared" ref="W14:W19" si="7">+G14</f>
        <v>207.5</v>
      </c>
      <c r="X14" s="166" t="s">
        <v>66</v>
      </c>
      <c r="Y14" s="165">
        <f t="shared" si="3"/>
        <v>178.5</v>
      </c>
      <c r="Z14" s="166" t="s">
        <v>67</v>
      </c>
      <c r="AA14" s="165">
        <f t="shared" ref="AA14:AA21" si="8">+U14</f>
        <v>195</v>
      </c>
      <c r="AB14" s="166" t="s">
        <v>78</v>
      </c>
    </row>
    <row r="15" spans="1:28" ht="24" customHeight="1">
      <c r="A15" s="18" t="s">
        <v>23</v>
      </c>
      <c r="B15" s="46">
        <f>'G-1'!B15+'G-2'!B15+'G-3'!B15+'G-4'!B15</f>
        <v>9</v>
      </c>
      <c r="C15" s="46">
        <f>'G-1'!C15+'G-2'!C15+'G-3'!C15+'G-4'!C15</f>
        <v>24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28.5</v>
      </c>
      <c r="G15" s="2">
        <f t="shared" si="4"/>
        <v>182</v>
      </c>
      <c r="H15" s="19" t="s">
        <v>12</v>
      </c>
      <c r="I15" s="46">
        <f>'G-1'!I15+'G-2'!I15+'G-3'!I15+'G-4'!I15</f>
        <v>17</v>
      </c>
      <c r="J15" s="46">
        <f>'G-1'!J15+'G-2'!J15+'G-3'!J15+'G-4'!J15</f>
        <v>37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45.5</v>
      </c>
      <c r="N15" s="2">
        <f t="shared" si="5"/>
        <v>191</v>
      </c>
      <c r="O15" s="18" t="s">
        <v>30</v>
      </c>
      <c r="P15" s="46">
        <f>'G-1'!P15+'G-2'!P15+'G-3'!P15+'G-4'!P15</f>
        <v>12</v>
      </c>
      <c r="Q15" s="46">
        <f>'G-1'!Q15+'G-2'!Q15+'G-3'!Q15+'G-4'!Q15</f>
        <v>33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39</v>
      </c>
      <c r="U15" s="2">
        <f t="shared" si="6"/>
        <v>183</v>
      </c>
      <c r="W15" s="165">
        <f t="shared" si="7"/>
        <v>182</v>
      </c>
      <c r="X15" s="166" t="s">
        <v>79</v>
      </c>
      <c r="Y15" s="165">
        <f t="shared" si="3"/>
        <v>191</v>
      </c>
      <c r="Z15" s="166" t="s">
        <v>80</v>
      </c>
      <c r="AA15" s="165">
        <f t="shared" si="8"/>
        <v>183</v>
      </c>
      <c r="AB15" s="166" t="s">
        <v>81</v>
      </c>
    </row>
    <row r="16" spans="1:28" ht="24" customHeight="1">
      <c r="A16" s="18" t="s">
        <v>39</v>
      </c>
      <c r="B16" s="46">
        <f>'G-1'!B16+'G-2'!B16+'G-3'!B16+'G-4'!B16</f>
        <v>10</v>
      </c>
      <c r="C16" s="46">
        <f>'G-1'!C16+'G-2'!C16+'G-3'!C16+'G-4'!C16</f>
        <v>31</v>
      </c>
      <c r="D16" s="46">
        <f>'G-1'!D16+'G-2'!D16+'G-3'!D16+'G-4'!D16</f>
        <v>1</v>
      </c>
      <c r="E16" s="46">
        <f>'G-1'!E16+'G-2'!E16+'G-3'!E16+'G-4'!E16</f>
        <v>0</v>
      </c>
      <c r="F16" s="6">
        <f t="shared" si="0"/>
        <v>38</v>
      </c>
      <c r="G16" s="2">
        <f t="shared" si="4"/>
        <v>163</v>
      </c>
      <c r="H16" s="19" t="s">
        <v>15</v>
      </c>
      <c r="I16" s="46">
        <f>'G-1'!I16+'G-2'!I16+'G-3'!I16+'G-4'!I16</f>
        <v>15</v>
      </c>
      <c r="J16" s="46">
        <f>'G-1'!J16+'G-2'!J16+'G-3'!J16+'G-4'!J16</f>
        <v>32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39.5</v>
      </c>
      <c r="N16" s="2">
        <f t="shared" si="5"/>
        <v>173</v>
      </c>
      <c r="O16" s="19" t="s">
        <v>8</v>
      </c>
      <c r="P16" s="46">
        <f>'G-1'!P16+'G-2'!P16+'G-3'!P16+'G-4'!P16</f>
        <v>12</v>
      </c>
      <c r="Q16" s="46">
        <f>'G-1'!Q16+'G-2'!Q16+'G-3'!Q16+'G-4'!Q16</f>
        <v>35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41</v>
      </c>
      <c r="U16" s="2">
        <f t="shared" si="6"/>
        <v>172</v>
      </c>
      <c r="W16" s="165">
        <f t="shared" si="7"/>
        <v>163</v>
      </c>
      <c r="X16" s="166" t="s">
        <v>82</v>
      </c>
      <c r="Y16" s="165">
        <f t="shared" si="3"/>
        <v>173</v>
      </c>
      <c r="Z16" s="166" t="s">
        <v>68</v>
      </c>
      <c r="AA16" s="165">
        <f t="shared" si="8"/>
        <v>172</v>
      </c>
      <c r="AB16" s="166" t="s">
        <v>83</v>
      </c>
    </row>
    <row r="17" spans="1:28" ht="24" customHeight="1">
      <c r="A17" s="18" t="s">
        <v>40</v>
      </c>
      <c r="B17" s="46">
        <f>'G-1'!B17+'G-2'!B17+'G-3'!B17+'G-4'!B17</f>
        <v>9</v>
      </c>
      <c r="C17" s="46">
        <f>'G-1'!C17+'G-2'!C17+'G-3'!C17+'G-4'!C17</f>
        <v>42</v>
      </c>
      <c r="D17" s="46">
        <f>'G-1'!D17+'G-2'!D17+'G-3'!D17+'G-4'!D17</f>
        <v>0</v>
      </c>
      <c r="E17" s="46">
        <f>'G-1'!E17+'G-2'!E17+'G-3'!E17+'G-4'!E17</f>
        <v>1</v>
      </c>
      <c r="F17" s="6">
        <f t="shared" si="0"/>
        <v>49</v>
      </c>
      <c r="G17" s="2">
        <f t="shared" si="4"/>
        <v>169.5</v>
      </c>
      <c r="H17" s="19" t="s">
        <v>18</v>
      </c>
      <c r="I17" s="46">
        <f>'G-1'!I17+'G-2'!I17+'G-3'!I17+'G-4'!I17</f>
        <v>15</v>
      </c>
      <c r="J17" s="46">
        <f>'G-1'!J17+'G-2'!J17+'G-3'!J17+'G-4'!J17</f>
        <v>32</v>
      </c>
      <c r="K17" s="46">
        <f>'G-1'!K17+'G-2'!K17+'G-3'!K17+'G-4'!K17</f>
        <v>0</v>
      </c>
      <c r="L17" s="46">
        <f>'G-1'!L17+'G-2'!L17+'G-3'!L17+'G-4'!L17</f>
        <v>2</v>
      </c>
      <c r="M17" s="6">
        <f t="shared" si="1"/>
        <v>44.5</v>
      </c>
      <c r="N17" s="2">
        <f t="shared" si="5"/>
        <v>171</v>
      </c>
      <c r="O17" s="19" t="s">
        <v>10</v>
      </c>
      <c r="P17" s="46">
        <f>'G-1'!P17+'G-2'!P17+'G-3'!P17+'G-4'!P17</f>
        <v>5</v>
      </c>
      <c r="Q17" s="46">
        <f>'G-1'!Q17+'G-2'!Q17+'G-3'!Q17+'G-4'!Q17</f>
        <v>50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52.5</v>
      </c>
      <c r="U17" s="2">
        <f t="shared" si="6"/>
        <v>169.5</v>
      </c>
      <c r="W17" s="165">
        <f t="shared" si="7"/>
        <v>169.5</v>
      </c>
      <c r="X17" s="166" t="s">
        <v>84</v>
      </c>
      <c r="Y17" s="165">
        <f t="shared" si="3"/>
        <v>171</v>
      </c>
      <c r="Z17" s="166" t="s">
        <v>85</v>
      </c>
      <c r="AA17" s="165">
        <f t="shared" si="8"/>
        <v>169.5</v>
      </c>
      <c r="AB17" s="166" t="s">
        <v>86</v>
      </c>
    </row>
    <row r="18" spans="1:28" ht="24" customHeight="1">
      <c r="A18" s="18" t="s">
        <v>41</v>
      </c>
      <c r="B18" s="46">
        <f>'G-1'!B18+'G-2'!B18+'G-3'!B18+'G-4'!B18</f>
        <v>6</v>
      </c>
      <c r="C18" s="46">
        <f>'G-1'!C18+'G-2'!C18+'G-3'!C18+'G-4'!C18</f>
        <v>27</v>
      </c>
      <c r="D18" s="46">
        <f>'G-1'!D18+'G-2'!D18+'G-3'!D18+'G-4'!D18</f>
        <v>0</v>
      </c>
      <c r="E18" s="46">
        <f>'G-1'!E18+'G-2'!E18+'G-3'!E18+'G-4'!E18</f>
        <v>3</v>
      </c>
      <c r="F18" s="6">
        <f t="shared" si="0"/>
        <v>37.5</v>
      </c>
      <c r="G18" s="2">
        <f t="shared" si="4"/>
        <v>153</v>
      </c>
      <c r="H18" s="19" t="s">
        <v>20</v>
      </c>
      <c r="I18" s="46">
        <f>'G-1'!I18+'G-2'!I18+'G-3'!I18+'G-4'!I18</f>
        <v>7</v>
      </c>
      <c r="J18" s="46">
        <f>'G-1'!J18+'G-2'!J18+'G-3'!J18+'G-4'!J18</f>
        <v>32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35.5</v>
      </c>
      <c r="N18" s="2">
        <f t="shared" si="5"/>
        <v>165</v>
      </c>
      <c r="O18" s="19" t="s">
        <v>13</v>
      </c>
      <c r="P18" s="46">
        <f>'G-1'!P18+'G-2'!P18+'G-3'!P18+'G-4'!P18</f>
        <v>8</v>
      </c>
      <c r="Q18" s="46">
        <f>'G-1'!Q18+'G-2'!Q18+'G-3'!Q18+'G-4'!Q18</f>
        <v>44</v>
      </c>
      <c r="R18" s="46">
        <f>'G-1'!R18+'G-2'!R18+'G-3'!R18+'G-4'!R18</f>
        <v>0</v>
      </c>
      <c r="S18" s="46">
        <f>'G-1'!S18+'G-2'!S18+'G-3'!S18+'G-4'!S18</f>
        <v>1</v>
      </c>
      <c r="T18" s="6">
        <f t="shared" si="2"/>
        <v>50.5</v>
      </c>
      <c r="U18" s="2">
        <f t="shared" si="6"/>
        <v>183</v>
      </c>
      <c r="W18" s="165">
        <f t="shared" si="7"/>
        <v>153</v>
      </c>
      <c r="X18" s="166" t="s">
        <v>87</v>
      </c>
      <c r="Y18" s="165">
        <f t="shared" si="3"/>
        <v>165</v>
      </c>
      <c r="Z18" s="166" t="s">
        <v>88</v>
      </c>
      <c r="AA18" s="165">
        <f t="shared" si="8"/>
        <v>183</v>
      </c>
      <c r="AB18" s="166" t="s">
        <v>69</v>
      </c>
    </row>
    <row r="19" spans="1:28" ht="24" customHeight="1" thickBot="1">
      <c r="A19" s="21" t="s">
        <v>42</v>
      </c>
      <c r="B19" s="47">
        <f>'G-1'!B19+'G-2'!B19+'G-3'!B19+'G-4'!B19</f>
        <v>7</v>
      </c>
      <c r="C19" s="47">
        <f>'G-1'!C19+'G-2'!C19+'G-3'!C19+'G-4'!C19</f>
        <v>34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37.5</v>
      </c>
      <c r="G19" s="3">
        <f t="shared" si="4"/>
        <v>162</v>
      </c>
      <c r="H19" s="20" t="s">
        <v>22</v>
      </c>
      <c r="I19" s="46">
        <f>'G-1'!I19+'G-2'!I19+'G-3'!I19+'G-4'!I19</f>
        <v>13</v>
      </c>
      <c r="J19" s="46">
        <f>'G-1'!J19+'G-2'!J19+'G-3'!J19+'G-4'!J19</f>
        <v>35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41.5</v>
      </c>
      <c r="N19" s="2">
        <f>M16+M17+M18+M19</f>
        <v>161</v>
      </c>
      <c r="O19" s="19" t="s">
        <v>16</v>
      </c>
      <c r="P19" s="46">
        <f>'G-1'!P19+'G-2'!P19+'G-3'!P19+'G-4'!P19</f>
        <v>12</v>
      </c>
      <c r="Q19" s="46">
        <f>'G-1'!Q19+'G-2'!Q19+'G-3'!Q19+'G-4'!Q19</f>
        <v>39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45</v>
      </c>
      <c r="U19" s="2">
        <f t="shared" si="6"/>
        <v>189</v>
      </c>
      <c r="W19" s="165">
        <f t="shared" si="7"/>
        <v>162</v>
      </c>
      <c r="X19" s="166" t="s">
        <v>89</v>
      </c>
      <c r="Y19" s="165">
        <f t="shared" si="3"/>
        <v>161</v>
      </c>
      <c r="Z19" s="166" t="s">
        <v>90</v>
      </c>
      <c r="AA19" s="165">
        <f t="shared" si="8"/>
        <v>189</v>
      </c>
      <c r="AB19" s="166" t="s">
        <v>91</v>
      </c>
    </row>
    <row r="20" spans="1:28" ht="24" customHeight="1">
      <c r="A20" s="19" t="s">
        <v>27</v>
      </c>
      <c r="B20" s="45">
        <f>'G-1'!B20+'G-2'!B20+'G-3'!B20+'G-4'!B20</f>
        <v>10</v>
      </c>
      <c r="C20" s="45">
        <f>'G-1'!C20+'G-2'!C20+'G-3'!C20+'G-4'!C20</f>
        <v>41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46</v>
      </c>
      <c r="G20" s="35"/>
      <c r="H20" s="19" t="s">
        <v>24</v>
      </c>
      <c r="I20" s="46">
        <f>'G-1'!I20+'G-2'!I20+'G-3'!I20+'G-4'!I20</f>
        <v>13</v>
      </c>
      <c r="J20" s="46">
        <f>'G-1'!J20+'G-2'!J20+'G-3'!J20+'G-4'!J20</f>
        <v>38</v>
      </c>
      <c r="K20" s="46">
        <f>'G-1'!K20+'G-2'!K20+'G-3'!K20+'G-4'!K20</f>
        <v>0</v>
      </c>
      <c r="L20" s="46">
        <f>'G-1'!L20+'G-2'!L20+'G-3'!L20+'G-4'!L20</f>
        <v>2</v>
      </c>
      <c r="M20" s="8">
        <f t="shared" si="1"/>
        <v>49.5</v>
      </c>
      <c r="N20" s="2">
        <f>M17+M18+M19+M20</f>
        <v>171</v>
      </c>
      <c r="O20" s="19" t="s">
        <v>45</v>
      </c>
      <c r="P20" s="46">
        <f>'G-1'!P20+'G-2'!P20+'G-3'!P20+'G-4'!P20</f>
        <v>9</v>
      </c>
      <c r="Q20" s="46">
        <f>'G-1'!Q20+'G-2'!Q20+'G-3'!Q20+'G-4'!Q20</f>
        <v>44</v>
      </c>
      <c r="R20" s="46">
        <f>'G-1'!R20+'G-2'!R20+'G-3'!R20+'G-4'!R20</f>
        <v>0</v>
      </c>
      <c r="S20" s="46">
        <f>'G-1'!S20+'G-2'!S20+'G-3'!S20+'G-4'!S20</f>
        <v>1</v>
      </c>
      <c r="T20" s="8">
        <f t="shared" si="2"/>
        <v>51</v>
      </c>
      <c r="U20" s="2">
        <f t="shared" si="6"/>
        <v>199</v>
      </c>
      <c r="W20" s="168" t="s">
        <v>152</v>
      </c>
      <c r="X20" s="168" t="s">
        <v>152</v>
      </c>
      <c r="Y20" s="165">
        <f t="shared" si="3"/>
        <v>171</v>
      </c>
      <c r="Z20" s="166" t="s">
        <v>92</v>
      </c>
      <c r="AA20" s="165">
        <f t="shared" si="8"/>
        <v>199</v>
      </c>
      <c r="AB20" s="166" t="s">
        <v>70</v>
      </c>
    </row>
    <row r="21" spans="1:28" ht="24" customHeight="1" thickBot="1">
      <c r="A21" s="19" t="s">
        <v>28</v>
      </c>
      <c r="B21" s="46">
        <f>'G-1'!B21+'G-2'!B21+'G-3'!B21+'G-4'!B21</f>
        <v>10</v>
      </c>
      <c r="C21" s="46">
        <f>'G-1'!C21+'G-2'!C21+'G-3'!C21+'G-4'!C21</f>
        <v>50</v>
      </c>
      <c r="D21" s="46">
        <f>'G-1'!D21+'G-2'!D21+'G-3'!D21+'G-4'!D21</f>
        <v>0</v>
      </c>
      <c r="E21" s="46">
        <f>'G-1'!E21+'G-2'!E21+'G-3'!E21+'G-4'!E21</f>
        <v>2</v>
      </c>
      <c r="F21" s="6">
        <f t="shared" si="0"/>
        <v>60</v>
      </c>
      <c r="G21" s="36"/>
      <c r="H21" s="20" t="s">
        <v>25</v>
      </c>
      <c r="I21" s="46">
        <f>'G-1'!I21+'G-2'!I21+'G-3'!I21+'G-4'!I21</f>
        <v>14</v>
      </c>
      <c r="J21" s="46">
        <f>'G-1'!J21+'G-2'!J21+'G-3'!J21+'G-4'!J21</f>
        <v>39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46</v>
      </c>
      <c r="N21" s="2">
        <f>M18+M19+M20+M21</f>
        <v>172.5</v>
      </c>
      <c r="O21" s="21" t="s">
        <v>46</v>
      </c>
      <c r="P21" s="47">
        <f>'G-1'!P21+'G-2'!P21+'G-3'!P21+'G-4'!P21</f>
        <v>7</v>
      </c>
      <c r="Q21" s="47">
        <f>'G-1'!Q21+'G-2'!Q21+'G-3'!Q21+'G-4'!Q21</f>
        <v>34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37.5</v>
      </c>
      <c r="U21" s="3">
        <f t="shared" si="6"/>
        <v>184</v>
      </c>
      <c r="W21" s="168" t="s">
        <v>152</v>
      </c>
      <c r="X21" s="168" t="s">
        <v>152</v>
      </c>
      <c r="Y21" s="165">
        <f t="shared" si="3"/>
        <v>172.5</v>
      </c>
      <c r="Z21" s="166" t="s">
        <v>71</v>
      </c>
      <c r="AA21" s="165">
        <f t="shared" si="8"/>
        <v>184</v>
      </c>
      <c r="AB21" s="166" t="s">
        <v>72</v>
      </c>
    </row>
    <row r="22" spans="1:28" ht="24" customHeight="1" thickBot="1">
      <c r="A22" s="19" t="s">
        <v>1</v>
      </c>
      <c r="B22" s="46">
        <f>'G-1'!B22+'G-2'!B22+'G-3'!B22+'G-4'!B22</f>
        <v>16</v>
      </c>
      <c r="C22" s="46">
        <f>'G-1'!C22+'G-2'!C22+'G-3'!C22+'G-4'!C22</f>
        <v>38</v>
      </c>
      <c r="D22" s="46">
        <f>'G-1'!D22+'G-2'!D22+'G-3'!D22+'G-4'!D22</f>
        <v>0</v>
      </c>
      <c r="E22" s="46">
        <f>'G-1'!E22+'G-2'!E22+'G-3'!E22+'G-4'!E22</f>
        <v>1</v>
      </c>
      <c r="F22" s="6">
        <f t="shared" si="0"/>
        <v>48.5</v>
      </c>
      <c r="G22" s="2"/>
      <c r="H22" s="21" t="s">
        <v>26</v>
      </c>
      <c r="I22" s="46">
        <f>'G-1'!I22+'G-2'!I22+'G-3'!I22+'G-4'!I22</f>
        <v>15</v>
      </c>
      <c r="J22" s="46">
        <f>'G-1'!J22+'G-2'!J22+'G-3'!J22+'G-4'!J22</f>
        <v>37</v>
      </c>
      <c r="K22" s="46">
        <f>'G-1'!K22+'G-2'!K22+'G-3'!K22+'G-4'!K22</f>
        <v>0</v>
      </c>
      <c r="L22" s="46">
        <f>'G-1'!L22+'G-2'!L22+'G-3'!L22+'G-4'!L22</f>
        <v>3</v>
      </c>
      <c r="M22" s="6">
        <f t="shared" si="1"/>
        <v>52</v>
      </c>
      <c r="N22" s="3">
        <f>M19+M20+M21+M22</f>
        <v>189</v>
      </c>
      <c r="O22" s="19"/>
      <c r="P22" s="45"/>
      <c r="Q22" s="45"/>
      <c r="R22" s="45"/>
      <c r="S22" s="45"/>
      <c r="T22" s="8"/>
      <c r="U22" s="34"/>
      <c r="W22" s="168" t="s">
        <v>152</v>
      </c>
      <c r="X22" s="168" t="s">
        <v>152</v>
      </c>
      <c r="Y22" s="165">
        <f t="shared" si="3"/>
        <v>189</v>
      </c>
      <c r="Z22" s="166" t="s">
        <v>93</v>
      </c>
      <c r="AA22" s="168" t="s">
        <v>152</v>
      </c>
      <c r="AB22" s="168" t="s">
        <v>152</v>
      </c>
    </row>
    <row r="23" spans="1:28" ht="13.5" customHeight="1">
      <c r="A23" s="350" t="s">
        <v>47</v>
      </c>
      <c r="B23" s="351"/>
      <c r="C23" s="363" t="s">
        <v>50</v>
      </c>
      <c r="D23" s="364"/>
      <c r="E23" s="364"/>
      <c r="F23" s="365"/>
      <c r="G23" s="84">
        <f>MAX(G13:G19)</f>
        <v>207.5</v>
      </c>
      <c r="H23" s="361" t="s">
        <v>48</v>
      </c>
      <c r="I23" s="362"/>
      <c r="J23" s="347" t="s">
        <v>50</v>
      </c>
      <c r="K23" s="348"/>
      <c r="L23" s="348"/>
      <c r="M23" s="349"/>
      <c r="N23" s="85">
        <f>MAX(N10:N22)</f>
        <v>191</v>
      </c>
      <c r="O23" s="350" t="s">
        <v>49</v>
      </c>
      <c r="P23" s="351"/>
      <c r="Q23" s="363" t="s">
        <v>50</v>
      </c>
      <c r="R23" s="364"/>
      <c r="S23" s="364"/>
      <c r="T23" s="365"/>
      <c r="U23" s="84">
        <f>MAX(U13:U21)</f>
        <v>201.5</v>
      </c>
      <c r="W23" s="1"/>
      <c r="X23" s="1"/>
    </row>
    <row r="24" spans="1:28" ht="13.5" customHeight="1">
      <c r="A24" s="352"/>
      <c r="B24" s="353"/>
      <c r="C24" s="82" t="s">
        <v>73</v>
      </c>
      <c r="D24" s="86"/>
      <c r="E24" s="86"/>
      <c r="F24" s="87" t="str">
        <f>VLOOKUP(G23,W10:X22,2,FALSE)</f>
        <v>7:30 - 8:30</v>
      </c>
      <c r="G24" s="88"/>
      <c r="H24" s="352"/>
      <c r="I24" s="353"/>
      <c r="J24" s="82" t="s">
        <v>73</v>
      </c>
      <c r="K24" s="86"/>
      <c r="L24" s="86"/>
      <c r="M24" s="87" t="s">
        <v>80</v>
      </c>
      <c r="N24" s="88"/>
      <c r="O24" s="352"/>
      <c r="P24" s="353"/>
      <c r="Q24" s="82" t="s">
        <v>73</v>
      </c>
      <c r="R24" s="86"/>
      <c r="S24" s="86"/>
      <c r="T24" s="87" t="s">
        <v>77</v>
      </c>
      <c r="U24" s="88"/>
      <c r="W24" s="1"/>
      <c r="X24" s="1"/>
    </row>
    <row r="25" spans="1:28" ht="6.75" customHeight="1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>
      <c r="A26" s="367" t="s">
        <v>51</v>
      </c>
      <c r="B26" s="367"/>
      <c r="C26" s="367"/>
      <c r="D26" s="367"/>
      <c r="E26" s="36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70"/>
    </row>
    <row r="28" spans="1:28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W29" s="169"/>
    </row>
    <row r="30" spans="1:2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W30" s="167"/>
    </row>
    <row r="31" spans="1:2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W31" s="167"/>
    </row>
    <row r="32" spans="1:28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W32" s="167"/>
    </row>
    <row r="33" spans="1:2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/>
    </row>
    <row r="45" spans="1:2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/>
    </row>
    <row r="46" spans="1:2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/>
    </row>
    <row r="47" spans="1:2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/>
    </row>
    <row r="48" spans="1:2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/>
    </row>
    <row r="49" spans="1:23" ht="6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/>
    </row>
    <row r="50" spans="1:2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/>
    </row>
    <row r="51" spans="1:2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/>
    </row>
    <row r="52" spans="1:2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/>
    </row>
    <row r="53" spans="1:2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/>
    </row>
    <row r="54" spans="1:2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/>
    </row>
    <row r="55" spans="1:2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/>
    </row>
    <row r="56" spans="1:2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/>
    </row>
    <row r="57" spans="1:2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/>
    </row>
    <row r="58" spans="1:2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/>
    </row>
    <row r="59" spans="1:2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/>
    </row>
    <row r="60" spans="1:2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22" zoomScaleNormal="100" workbookViewId="0">
      <selection activeCell="F45" sqref="F45"/>
    </sheetView>
  </sheetViews>
  <sheetFormatPr baseColWidth="10" defaultRowHeight="12.75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1" ht="18.75">
      <c r="A2" s="402" t="s">
        <v>112</v>
      </c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1">
      <c r="A4" s="403" t="s">
        <v>113</v>
      </c>
      <c r="B4" s="403"/>
      <c r="C4" s="404" t="s">
        <v>60</v>
      </c>
      <c r="D4" s="404"/>
      <c r="E4" s="404"/>
      <c r="F4" s="110"/>
      <c r="G4" s="106"/>
      <c r="H4" s="106"/>
      <c r="I4" s="106"/>
      <c r="J4" s="106"/>
    </row>
    <row r="5" spans="1:11">
      <c r="A5" s="366" t="s">
        <v>56</v>
      </c>
      <c r="B5" s="366"/>
      <c r="C5" s="405" t="str">
        <f>'G-1'!D5</f>
        <v>CALLE 81 - CARRERA 69</v>
      </c>
      <c r="D5" s="405"/>
      <c r="E5" s="405"/>
      <c r="F5" s="111"/>
      <c r="G5" s="112"/>
      <c r="H5" s="103" t="s">
        <v>53</v>
      </c>
      <c r="I5" s="406">
        <f>'G-1'!L5</f>
        <v>0</v>
      </c>
      <c r="J5" s="406"/>
    </row>
    <row r="6" spans="1:11">
      <c r="A6" s="366" t="s">
        <v>114</v>
      </c>
      <c r="B6" s="366"/>
      <c r="C6" s="407" t="s">
        <v>150</v>
      </c>
      <c r="D6" s="407"/>
      <c r="E6" s="407"/>
      <c r="F6" s="111"/>
      <c r="G6" s="112"/>
      <c r="H6" s="103" t="s">
        <v>58</v>
      </c>
      <c r="I6" s="408">
        <f>'G-1'!S6</f>
        <v>42892</v>
      </c>
      <c r="J6" s="408"/>
    </row>
    <row r="7" spans="1:11">
      <c r="A7" s="113"/>
      <c r="B7" s="113"/>
      <c r="C7" s="409"/>
      <c r="D7" s="409"/>
      <c r="E7" s="409"/>
      <c r="F7" s="409"/>
      <c r="G7" s="110"/>
      <c r="H7" s="114"/>
      <c r="I7" s="115"/>
      <c r="J7" s="106"/>
    </row>
    <row r="8" spans="1:11">
      <c r="A8" s="410" t="s">
        <v>115</v>
      </c>
      <c r="B8" s="412" t="s">
        <v>116</v>
      </c>
      <c r="C8" s="410" t="s">
        <v>117</v>
      </c>
      <c r="D8" s="41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414" t="s">
        <v>123</v>
      </c>
      <c r="J8" s="416" t="s">
        <v>124</v>
      </c>
    </row>
    <row r="9" spans="1:11">
      <c r="A9" s="411"/>
      <c r="B9" s="413"/>
      <c r="C9" s="411"/>
      <c r="D9" s="413"/>
      <c r="E9" s="119" t="s">
        <v>52</v>
      </c>
      <c r="F9" s="120" t="s">
        <v>0</v>
      </c>
      <c r="G9" s="121" t="s">
        <v>2</v>
      </c>
      <c r="H9" s="120" t="s">
        <v>3</v>
      </c>
      <c r="I9" s="415"/>
      <c r="J9" s="417"/>
    </row>
    <row r="10" spans="1:11">
      <c r="A10" s="418" t="s">
        <v>125</v>
      </c>
      <c r="B10" s="421">
        <v>1</v>
      </c>
      <c r="C10" s="122"/>
      <c r="D10" s="123" t="s">
        <v>126</v>
      </c>
      <c r="E10" s="75">
        <v>1</v>
      </c>
      <c r="F10" s="75">
        <v>1</v>
      </c>
      <c r="G10" s="75">
        <v>0</v>
      </c>
      <c r="H10" s="75">
        <v>0</v>
      </c>
      <c r="I10" s="75">
        <f>E10*0.5+F10+G10*2+H10*2.5</f>
        <v>1.5</v>
      </c>
      <c r="J10" s="124">
        <f>IF(I10=0,"0,00",I10/SUM(I10:I12)*100)</f>
        <v>5.7692307692307692</v>
      </c>
    </row>
    <row r="11" spans="1:11">
      <c r="A11" s="419"/>
      <c r="B11" s="422"/>
      <c r="C11" s="122" t="s">
        <v>127</v>
      </c>
      <c r="D11" s="125" t="s">
        <v>128</v>
      </c>
      <c r="E11" s="126">
        <v>6</v>
      </c>
      <c r="F11" s="126">
        <v>17</v>
      </c>
      <c r="G11" s="126">
        <v>0</v>
      </c>
      <c r="H11" s="126">
        <v>1</v>
      </c>
      <c r="I11" s="126">
        <f t="shared" ref="I11:I45" si="0">E11*0.5+F11+G11*2+H11*2.5</f>
        <v>22.5</v>
      </c>
      <c r="J11" s="127">
        <f>IF(I11=0,"0,00",I11/SUM(I10:I12)*100)</f>
        <v>86.538461538461547</v>
      </c>
    </row>
    <row r="12" spans="1:11">
      <c r="A12" s="419"/>
      <c r="B12" s="422"/>
      <c r="C12" s="128" t="s">
        <v>138</v>
      </c>
      <c r="D12" s="129" t="s">
        <v>129</v>
      </c>
      <c r="E12" s="74">
        <v>2</v>
      </c>
      <c r="F12" s="74">
        <v>1</v>
      </c>
      <c r="G12" s="74">
        <v>0</v>
      </c>
      <c r="H12" s="74">
        <v>0</v>
      </c>
      <c r="I12" s="130">
        <f t="shared" si="0"/>
        <v>2</v>
      </c>
      <c r="J12" s="131">
        <f>IF(I12=0,"0,00",I12/SUM(I10:I12)*100)</f>
        <v>7.6923076923076925</v>
      </c>
      <c r="K12" s="209"/>
    </row>
    <row r="13" spans="1:11">
      <c r="A13" s="419"/>
      <c r="B13" s="422"/>
      <c r="C13" s="132"/>
      <c r="D13" s="123" t="s">
        <v>126</v>
      </c>
      <c r="E13" s="75">
        <v>0</v>
      </c>
      <c r="F13" s="75">
        <v>2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6.0606060606060606</v>
      </c>
    </row>
    <row r="14" spans="1:11">
      <c r="A14" s="419"/>
      <c r="B14" s="422"/>
      <c r="C14" s="122" t="s">
        <v>130</v>
      </c>
      <c r="D14" s="125" t="s">
        <v>128</v>
      </c>
      <c r="E14" s="126">
        <v>9</v>
      </c>
      <c r="F14" s="126">
        <v>23</v>
      </c>
      <c r="G14" s="126">
        <v>0</v>
      </c>
      <c r="H14" s="126">
        <v>0</v>
      </c>
      <c r="I14" s="126">
        <f t="shared" si="0"/>
        <v>27.5</v>
      </c>
      <c r="J14" s="127">
        <f>IF(I14=0,"0,00",I14/SUM(I13:I15)*100)</f>
        <v>83.333333333333343</v>
      </c>
    </row>
    <row r="15" spans="1:11">
      <c r="A15" s="419"/>
      <c r="B15" s="422"/>
      <c r="C15" s="128" t="s">
        <v>139</v>
      </c>
      <c r="D15" s="129" t="s">
        <v>129</v>
      </c>
      <c r="E15" s="74">
        <v>1</v>
      </c>
      <c r="F15" s="74">
        <v>3</v>
      </c>
      <c r="G15" s="74">
        <v>0</v>
      </c>
      <c r="H15" s="74">
        <v>0</v>
      </c>
      <c r="I15" s="130">
        <f t="shared" si="0"/>
        <v>3.5</v>
      </c>
      <c r="J15" s="131">
        <f>IF(I15=0,"0,00",I15/SUM(I13:I15)*100)</f>
        <v>10.606060606060606</v>
      </c>
    </row>
    <row r="16" spans="1:11">
      <c r="A16" s="419"/>
      <c r="B16" s="422"/>
      <c r="C16" s="132"/>
      <c r="D16" s="123" t="s">
        <v>126</v>
      </c>
      <c r="E16" s="75">
        <v>1</v>
      </c>
      <c r="F16" s="75">
        <v>5</v>
      </c>
      <c r="G16" s="75">
        <v>0</v>
      </c>
      <c r="H16" s="75">
        <v>0</v>
      </c>
      <c r="I16" s="75">
        <f t="shared" si="0"/>
        <v>5.5</v>
      </c>
      <c r="J16" s="124">
        <f>IF(I16=0,"0,00",I16/SUM(I16:I18)*100)</f>
        <v>18.96551724137931</v>
      </c>
    </row>
    <row r="17" spans="1:10">
      <c r="A17" s="419"/>
      <c r="B17" s="422"/>
      <c r="C17" s="122" t="s">
        <v>131</v>
      </c>
      <c r="D17" s="125" t="s">
        <v>128</v>
      </c>
      <c r="E17" s="126">
        <v>4</v>
      </c>
      <c r="F17" s="126">
        <v>13</v>
      </c>
      <c r="G17" s="126">
        <v>0</v>
      </c>
      <c r="H17" s="126">
        <v>1</v>
      </c>
      <c r="I17" s="126">
        <f t="shared" si="0"/>
        <v>17.5</v>
      </c>
      <c r="J17" s="127">
        <f>IF(I17=0,"0,00",I17/SUM(I16:I18)*100)</f>
        <v>60.344827586206897</v>
      </c>
    </row>
    <row r="18" spans="1:10">
      <c r="A18" s="420"/>
      <c r="B18" s="423"/>
      <c r="C18" s="133" t="s">
        <v>140</v>
      </c>
      <c r="D18" s="129" t="s">
        <v>129</v>
      </c>
      <c r="E18" s="74">
        <v>2</v>
      </c>
      <c r="F18" s="74">
        <v>5</v>
      </c>
      <c r="G18" s="74">
        <v>0</v>
      </c>
      <c r="H18" s="74">
        <v>0</v>
      </c>
      <c r="I18" s="130">
        <f t="shared" si="0"/>
        <v>6</v>
      </c>
      <c r="J18" s="131">
        <f>IF(I18=0,"0,00",I18/SUM(I16:I18)*100)</f>
        <v>20.689655172413794</v>
      </c>
    </row>
    <row r="19" spans="1:10">
      <c r="A19" s="418" t="s">
        <v>132</v>
      </c>
      <c r="B19" s="421">
        <v>1</v>
      </c>
      <c r="C19" s="134"/>
      <c r="D19" s="123" t="s">
        <v>126</v>
      </c>
      <c r="E19" s="75">
        <v>1</v>
      </c>
      <c r="F19" s="75">
        <v>5</v>
      </c>
      <c r="G19" s="75">
        <v>0</v>
      </c>
      <c r="H19" s="75">
        <v>0</v>
      </c>
      <c r="I19" s="75">
        <f t="shared" si="0"/>
        <v>5.5</v>
      </c>
      <c r="J19" s="124">
        <f>IF(I19=0,"0,00",I19/SUM(I19:I21)*100)</f>
        <v>12.5</v>
      </c>
    </row>
    <row r="20" spans="1:10">
      <c r="A20" s="419"/>
      <c r="B20" s="422"/>
      <c r="C20" s="122" t="s">
        <v>127</v>
      </c>
      <c r="D20" s="125" t="s">
        <v>128</v>
      </c>
      <c r="E20" s="126">
        <v>8</v>
      </c>
      <c r="F20" s="126">
        <v>19</v>
      </c>
      <c r="G20" s="126">
        <v>0</v>
      </c>
      <c r="H20" s="126">
        <v>3</v>
      </c>
      <c r="I20" s="126">
        <f t="shared" si="0"/>
        <v>30.5</v>
      </c>
      <c r="J20" s="127">
        <f>IF(I20=0,"0,00",I20/SUM(I19:I21)*100)</f>
        <v>69.318181818181827</v>
      </c>
    </row>
    <row r="21" spans="1:10">
      <c r="A21" s="419"/>
      <c r="B21" s="422"/>
      <c r="C21" s="128" t="s">
        <v>141</v>
      </c>
      <c r="D21" s="129" t="s">
        <v>129</v>
      </c>
      <c r="E21" s="74">
        <v>4</v>
      </c>
      <c r="F21" s="74">
        <v>6</v>
      </c>
      <c r="G21" s="74">
        <v>0</v>
      </c>
      <c r="H21" s="74">
        <v>0</v>
      </c>
      <c r="I21" s="130">
        <f t="shared" si="0"/>
        <v>8</v>
      </c>
      <c r="J21" s="131">
        <f>IF(I21=0,"0,00",I21/SUM(I19:I21)*100)</f>
        <v>18.181818181818183</v>
      </c>
    </row>
    <row r="22" spans="1:10">
      <c r="A22" s="419"/>
      <c r="B22" s="422"/>
      <c r="C22" s="132"/>
      <c r="D22" s="123" t="s">
        <v>126</v>
      </c>
      <c r="E22" s="75">
        <v>2</v>
      </c>
      <c r="F22" s="75">
        <v>2</v>
      </c>
      <c r="G22" s="75">
        <v>0</v>
      </c>
      <c r="H22" s="75">
        <v>0</v>
      </c>
      <c r="I22" s="75">
        <f t="shared" si="0"/>
        <v>3</v>
      </c>
      <c r="J22" s="124">
        <f>IF(I22=0,"0,00",I22/SUM(I22:I24)*100)</f>
        <v>10.526315789473683</v>
      </c>
    </row>
    <row r="23" spans="1:10">
      <c r="A23" s="419"/>
      <c r="B23" s="422"/>
      <c r="C23" s="122" t="s">
        <v>130</v>
      </c>
      <c r="D23" s="125" t="s">
        <v>128</v>
      </c>
      <c r="E23" s="126">
        <v>5</v>
      </c>
      <c r="F23" s="126">
        <v>20</v>
      </c>
      <c r="G23" s="126">
        <v>0</v>
      </c>
      <c r="H23" s="126">
        <v>1</v>
      </c>
      <c r="I23" s="126">
        <f t="shared" si="0"/>
        <v>25</v>
      </c>
      <c r="J23" s="127">
        <f>IF(I23=0,"0,00",I23/SUM(I22:I24)*100)</f>
        <v>87.719298245614027</v>
      </c>
    </row>
    <row r="24" spans="1:10">
      <c r="A24" s="419"/>
      <c r="B24" s="422"/>
      <c r="C24" s="128" t="s">
        <v>142</v>
      </c>
      <c r="D24" s="129" t="s">
        <v>129</v>
      </c>
      <c r="E24" s="74">
        <v>1</v>
      </c>
      <c r="F24" s="74">
        <v>0</v>
      </c>
      <c r="G24" s="74">
        <v>0</v>
      </c>
      <c r="H24" s="74">
        <v>0</v>
      </c>
      <c r="I24" s="130">
        <f t="shared" si="0"/>
        <v>0.5</v>
      </c>
      <c r="J24" s="131">
        <f>IF(I24=0,"0,00",I24/SUM(I22:I24)*100)</f>
        <v>1.7543859649122806</v>
      </c>
    </row>
    <row r="25" spans="1:10">
      <c r="A25" s="419"/>
      <c r="B25" s="422"/>
      <c r="C25" s="132"/>
      <c r="D25" s="123" t="s">
        <v>126</v>
      </c>
      <c r="E25" s="75">
        <v>2</v>
      </c>
      <c r="F25" s="75">
        <v>5</v>
      </c>
      <c r="G25" s="75">
        <v>0</v>
      </c>
      <c r="H25" s="75">
        <v>0</v>
      </c>
      <c r="I25" s="75">
        <f t="shared" si="0"/>
        <v>6</v>
      </c>
      <c r="J25" s="124">
        <f>IF(I25=0,"0,00",I25/SUM(I25:I27)*100)</f>
        <v>21.428571428571427</v>
      </c>
    </row>
    <row r="26" spans="1:10">
      <c r="A26" s="419"/>
      <c r="B26" s="422"/>
      <c r="C26" s="122" t="s">
        <v>131</v>
      </c>
      <c r="D26" s="125" t="s">
        <v>128</v>
      </c>
      <c r="E26" s="126">
        <v>2</v>
      </c>
      <c r="F26" s="126">
        <v>18</v>
      </c>
      <c r="G26" s="126">
        <v>0</v>
      </c>
      <c r="H26" s="126">
        <v>0</v>
      </c>
      <c r="I26" s="126">
        <f t="shared" si="0"/>
        <v>19</v>
      </c>
      <c r="J26" s="127">
        <f>IF(I26=0,"0,00",I26/SUM(I25:I27)*100)</f>
        <v>67.857142857142861</v>
      </c>
    </row>
    <row r="27" spans="1:10">
      <c r="A27" s="420"/>
      <c r="B27" s="423"/>
      <c r="C27" s="133" t="s">
        <v>143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10.714285714285714</v>
      </c>
    </row>
    <row r="28" spans="1:10">
      <c r="A28" s="418" t="s">
        <v>133</v>
      </c>
      <c r="B28" s="421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8.695652173913043</v>
      </c>
    </row>
    <row r="29" spans="1:10">
      <c r="A29" s="419"/>
      <c r="B29" s="422"/>
      <c r="C29" s="122" t="s">
        <v>127</v>
      </c>
      <c r="D29" s="125" t="s">
        <v>128</v>
      </c>
      <c r="E29" s="126">
        <v>2</v>
      </c>
      <c r="F29" s="126">
        <v>9</v>
      </c>
      <c r="G29" s="126">
        <v>0</v>
      </c>
      <c r="H29" s="126">
        <v>0</v>
      </c>
      <c r="I29" s="126">
        <f t="shared" si="0"/>
        <v>10</v>
      </c>
      <c r="J29" s="127">
        <f>IF(I29=0,"0,00",I29/SUM(I28:I30)*100)</f>
        <v>43.478260869565219</v>
      </c>
    </row>
    <row r="30" spans="1:10">
      <c r="A30" s="419"/>
      <c r="B30" s="422"/>
      <c r="C30" s="128" t="s">
        <v>144</v>
      </c>
      <c r="D30" s="129" t="s">
        <v>129</v>
      </c>
      <c r="E30" s="74">
        <v>0</v>
      </c>
      <c r="F30" s="74">
        <v>11</v>
      </c>
      <c r="G30" s="74">
        <v>0</v>
      </c>
      <c r="H30" s="74">
        <v>0</v>
      </c>
      <c r="I30" s="130">
        <f t="shared" si="0"/>
        <v>11</v>
      </c>
      <c r="J30" s="131">
        <f>IF(I30=0,"0,00",I30/SUM(I28:I30)*100)</f>
        <v>47.826086956521742</v>
      </c>
    </row>
    <row r="31" spans="1:10">
      <c r="A31" s="419"/>
      <c r="B31" s="422"/>
      <c r="C31" s="132"/>
      <c r="D31" s="123" t="s">
        <v>126</v>
      </c>
      <c r="E31" s="75">
        <v>0</v>
      </c>
      <c r="F31" s="75">
        <v>2</v>
      </c>
      <c r="G31" s="75">
        <v>0</v>
      </c>
      <c r="H31" s="75">
        <v>0</v>
      </c>
      <c r="I31" s="75">
        <f t="shared" si="0"/>
        <v>2</v>
      </c>
      <c r="J31" s="124">
        <f>IF(I31=0,"0,00",I31/SUM(I31:I33)*100)</f>
        <v>11.111111111111111</v>
      </c>
    </row>
    <row r="32" spans="1:10">
      <c r="A32" s="419"/>
      <c r="B32" s="422"/>
      <c r="C32" s="122" t="s">
        <v>130</v>
      </c>
      <c r="D32" s="125" t="s">
        <v>128</v>
      </c>
      <c r="E32" s="126">
        <v>3</v>
      </c>
      <c r="F32" s="126">
        <v>10</v>
      </c>
      <c r="G32" s="126">
        <v>0</v>
      </c>
      <c r="H32" s="126">
        <v>0</v>
      </c>
      <c r="I32" s="126">
        <f t="shared" si="0"/>
        <v>11.5</v>
      </c>
      <c r="J32" s="127">
        <f>IF(I32=0,"0,00",I32/SUM(I31:I33)*100)</f>
        <v>63.888888888888886</v>
      </c>
    </row>
    <row r="33" spans="1:16">
      <c r="A33" s="419"/>
      <c r="B33" s="422"/>
      <c r="C33" s="128" t="s">
        <v>145</v>
      </c>
      <c r="D33" s="129" t="s">
        <v>129</v>
      </c>
      <c r="E33" s="74">
        <v>5</v>
      </c>
      <c r="F33" s="74">
        <v>2</v>
      </c>
      <c r="G33" s="74">
        <v>0</v>
      </c>
      <c r="H33" s="74">
        <v>0</v>
      </c>
      <c r="I33" s="130">
        <f t="shared" si="0"/>
        <v>4.5</v>
      </c>
      <c r="J33" s="131">
        <f>IF(I33=0,"0,00",I33/SUM(I31:I33)*100)</f>
        <v>25</v>
      </c>
      <c r="M33" s="158"/>
      <c r="N33" s="158"/>
      <c r="O33" s="158"/>
      <c r="P33" s="158"/>
    </row>
    <row r="34" spans="1:16">
      <c r="A34" s="419"/>
      <c r="B34" s="4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  <c r="M34" s="158"/>
      <c r="N34" s="158"/>
      <c r="O34" s="158"/>
      <c r="P34" s="158"/>
    </row>
    <row r="35" spans="1:16">
      <c r="A35" s="419"/>
      <c r="B35" s="422"/>
      <c r="C35" s="122" t="s">
        <v>131</v>
      </c>
      <c r="D35" s="125" t="s">
        <v>128</v>
      </c>
      <c r="E35" s="126">
        <v>2</v>
      </c>
      <c r="F35" s="126">
        <v>7</v>
      </c>
      <c r="G35" s="126">
        <v>0</v>
      </c>
      <c r="H35" s="126">
        <v>0</v>
      </c>
      <c r="I35" s="126">
        <f t="shared" si="0"/>
        <v>8</v>
      </c>
      <c r="J35" s="127">
        <f>IF(I35=0,"0,00",I35/SUM(I34:I36)*100)</f>
        <v>76.19047619047619</v>
      </c>
    </row>
    <row r="36" spans="1:16">
      <c r="A36" s="420"/>
      <c r="B36" s="423"/>
      <c r="C36" s="133" t="s">
        <v>146</v>
      </c>
      <c r="D36" s="129" t="s">
        <v>129</v>
      </c>
      <c r="E36" s="74">
        <v>1</v>
      </c>
      <c r="F36" s="74">
        <v>2</v>
      </c>
      <c r="G36" s="74">
        <v>0</v>
      </c>
      <c r="H36" s="74">
        <v>0</v>
      </c>
      <c r="I36" s="130">
        <f t="shared" si="0"/>
        <v>2.5</v>
      </c>
      <c r="J36" s="131">
        <f>IF(I36=0,"0,00",I36/SUM(I34:I36)*100)</f>
        <v>23.809523809523807</v>
      </c>
    </row>
    <row r="37" spans="1:16">
      <c r="A37" s="418" t="s">
        <v>134</v>
      </c>
      <c r="B37" s="421">
        <v>1</v>
      </c>
      <c r="C37" s="134"/>
      <c r="D37" s="123" t="s">
        <v>126</v>
      </c>
      <c r="E37" s="75">
        <v>0</v>
      </c>
      <c r="F37" s="75">
        <v>1</v>
      </c>
      <c r="G37" s="75">
        <v>0</v>
      </c>
      <c r="H37" s="75">
        <v>0</v>
      </c>
      <c r="I37" s="75">
        <f t="shared" si="0"/>
        <v>1</v>
      </c>
      <c r="J37" s="124">
        <f>IF(I37=0,"0,00",I37/SUM(I37:I39)*100)</f>
        <v>11.111111111111111</v>
      </c>
    </row>
    <row r="38" spans="1:16">
      <c r="A38" s="419"/>
      <c r="B38" s="422"/>
      <c r="C38" s="122" t="s">
        <v>127</v>
      </c>
      <c r="D38" s="125" t="s">
        <v>128</v>
      </c>
      <c r="E38" s="126">
        <v>2</v>
      </c>
      <c r="F38" s="126">
        <v>5</v>
      </c>
      <c r="G38" s="126">
        <v>0</v>
      </c>
      <c r="H38" s="126">
        <v>0</v>
      </c>
      <c r="I38" s="126">
        <f t="shared" si="0"/>
        <v>6</v>
      </c>
      <c r="J38" s="127">
        <f>IF(I38=0,"0,00",I38/SUM(I37:I39)*100)</f>
        <v>66.666666666666657</v>
      </c>
    </row>
    <row r="39" spans="1:16">
      <c r="A39" s="419"/>
      <c r="B39" s="422"/>
      <c r="C39" s="128" t="s">
        <v>147</v>
      </c>
      <c r="D39" s="129" t="s">
        <v>129</v>
      </c>
      <c r="E39" s="74">
        <v>0</v>
      </c>
      <c r="F39" s="74">
        <v>2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22.222222222222221</v>
      </c>
    </row>
    <row r="40" spans="1:16">
      <c r="A40" s="419"/>
      <c r="B40" s="422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3.225806451612903</v>
      </c>
    </row>
    <row r="41" spans="1:16">
      <c r="A41" s="419"/>
      <c r="B41" s="422"/>
      <c r="C41" s="122" t="s">
        <v>130</v>
      </c>
      <c r="D41" s="125" t="s">
        <v>128</v>
      </c>
      <c r="E41" s="126">
        <v>2</v>
      </c>
      <c r="F41" s="126">
        <v>12</v>
      </c>
      <c r="G41" s="126">
        <v>0</v>
      </c>
      <c r="H41" s="126">
        <v>0</v>
      </c>
      <c r="I41" s="126">
        <f t="shared" si="0"/>
        <v>13</v>
      </c>
      <c r="J41" s="127">
        <f>IF(I41=0,"0,00",I41/SUM(I40:I42)*100)</f>
        <v>83.870967741935488</v>
      </c>
    </row>
    <row r="42" spans="1:16">
      <c r="A42" s="419"/>
      <c r="B42" s="422"/>
      <c r="C42" s="128" t="s">
        <v>148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12.903225806451612</v>
      </c>
    </row>
    <row r="43" spans="1:16">
      <c r="A43" s="419"/>
      <c r="B43" s="422"/>
      <c r="C43" s="132"/>
      <c r="D43" s="123" t="s">
        <v>126</v>
      </c>
      <c r="E43" s="75">
        <v>0</v>
      </c>
      <c r="F43" s="75">
        <v>1</v>
      </c>
      <c r="G43" s="75">
        <v>0</v>
      </c>
      <c r="H43" s="75">
        <v>0</v>
      </c>
      <c r="I43" s="75">
        <f t="shared" si="0"/>
        <v>1</v>
      </c>
      <c r="J43" s="75">
        <f>IF(I43=0,"0,00",I43/SUM(I43:I45)*100)</f>
        <v>4.7619047619047619</v>
      </c>
    </row>
    <row r="44" spans="1:16">
      <c r="A44" s="419"/>
      <c r="B44" s="422"/>
      <c r="C44" s="122" t="s">
        <v>131</v>
      </c>
      <c r="D44" s="125" t="s">
        <v>128</v>
      </c>
      <c r="E44" s="126">
        <v>2</v>
      </c>
      <c r="F44" s="126">
        <v>15</v>
      </c>
      <c r="G44" s="126">
        <v>0</v>
      </c>
      <c r="H44" s="126">
        <v>0</v>
      </c>
      <c r="I44" s="126">
        <f t="shared" si="0"/>
        <v>16</v>
      </c>
      <c r="J44" s="127">
        <f>IF(I44=0,"0,00",I44/SUM(I43:I45)*100)</f>
        <v>76.19047619047619</v>
      </c>
    </row>
    <row r="45" spans="1:16">
      <c r="A45" s="420"/>
      <c r="B45" s="423"/>
      <c r="C45" s="133" t="s">
        <v>149</v>
      </c>
      <c r="D45" s="129" t="s">
        <v>129</v>
      </c>
      <c r="E45" s="74">
        <v>0</v>
      </c>
      <c r="F45" s="74">
        <v>4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19.047619047619047</v>
      </c>
    </row>
    <row r="46" spans="1:16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6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6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5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L50" s="158"/>
      <c r="M50" s="158"/>
      <c r="N50" s="158"/>
      <c r="O50" s="158"/>
    </row>
    <row r="51" spans="1:15">
      <c r="L51" s="158"/>
      <c r="M51" s="158"/>
      <c r="N51" s="158"/>
      <c r="O51" s="15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6" sqref="D16"/>
    </sheetView>
  </sheetViews>
  <sheetFormatPr baseColWidth="10" defaultRowHeight="12.75"/>
  <cols>
    <col min="2" max="2" width="5.28515625" customWidth="1"/>
    <col min="3" max="3" width="5" customWidth="1"/>
    <col min="4" max="4" width="5.285156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425" t="s">
        <v>95</v>
      </c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425" t="s">
        <v>96</v>
      </c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425" t="s">
        <v>97</v>
      </c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  <c r="Y4" s="425"/>
      <c r="Z4" s="425"/>
      <c r="AA4" s="425"/>
      <c r="AB4" s="42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>
      <c r="A8" s="426" t="s">
        <v>98</v>
      </c>
      <c r="B8" s="426"/>
      <c r="C8" s="427" t="s">
        <v>99</v>
      </c>
      <c r="D8" s="427"/>
      <c r="E8" s="427"/>
      <c r="F8" s="427"/>
      <c r="G8" s="427"/>
      <c r="H8" s="427"/>
      <c r="I8" s="92"/>
      <c r="J8" s="92"/>
      <c r="K8" s="92"/>
      <c r="L8" s="426" t="s">
        <v>100</v>
      </c>
      <c r="M8" s="426"/>
      <c r="N8" s="426"/>
      <c r="O8" s="427" t="str">
        <f>'G-1'!D5</f>
        <v>CALLE 81 - CARRERA 69</v>
      </c>
      <c r="P8" s="427"/>
      <c r="Q8" s="427"/>
      <c r="R8" s="427"/>
      <c r="S8" s="427"/>
      <c r="T8" s="92"/>
      <c r="U8" s="92"/>
      <c r="V8" s="426" t="s">
        <v>101</v>
      </c>
      <c r="W8" s="426"/>
      <c r="X8" s="426"/>
      <c r="Y8" s="427">
        <f>'G-1'!L5</f>
        <v>0</v>
      </c>
      <c r="Z8" s="427"/>
      <c r="AA8" s="427"/>
      <c r="AB8" s="92"/>
      <c r="AC8" s="92"/>
      <c r="AD8" s="92"/>
      <c r="AE8" s="92"/>
      <c r="AF8" s="92"/>
      <c r="AG8" s="92"/>
      <c r="AH8" s="426" t="s">
        <v>102</v>
      </c>
      <c r="AI8" s="426"/>
      <c r="AJ8" s="430">
        <f>'G-1'!S6</f>
        <v>42892</v>
      </c>
      <c r="AK8" s="430"/>
      <c r="AL8" s="430"/>
      <c r="AM8" s="43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>
      <c r="A10" s="92"/>
      <c r="B10" s="92"/>
      <c r="C10" s="92"/>
      <c r="D10" s="424" t="s">
        <v>136</v>
      </c>
      <c r="E10" s="424"/>
      <c r="F10" s="424"/>
      <c r="G10" s="42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424" t="s">
        <v>137</v>
      </c>
      <c r="T10" s="424"/>
      <c r="U10" s="424"/>
      <c r="V10" s="42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424" t="s">
        <v>49</v>
      </c>
      <c r="AI10" s="424"/>
      <c r="AJ10" s="424"/>
      <c r="AK10" s="42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431" t="s">
        <v>104</v>
      </c>
      <c r="U12" s="43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56.5</v>
      </c>
      <c r="AV12" s="97">
        <f t="shared" si="0"/>
        <v>55</v>
      </c>
      <c r="AW12" s="97">
        <f t="shared" si="0"/>
        <v>49</v>
      </c>
      <c r="AX12" s="97">
        <f t="shared" si="0"/>
        <v>42.5</v>
      </c>
      <c r="AY12" s="97">
        <f t="shared" si="0"/>
        <v>53</v>
      </c>
      <c r="AZ12" s="97">
        <f t="shared" si="0"/>
        <v>49.5</v>
      </c>
      <c r="BA12" s="97">
        <f t="shared" si="0"/>
        <v>46.5</v>
      </c>
      <c r="BB12" s="97"/>
      <c r="BC12" s="97"/>
      <c r="BD12" s="97"/>
      <c r="BE12" s="97">
        <f t="shared" ref="BE12:BQ12" si="1">P14</f>
        <v>55.5</v>
      </c>
      <c r="BF12" s="97">
        <f t="shared" si="1"/>
        <v>51.5</v>
      </c>
      <c r="BG12" s="97">
        <f t="shared" si="1"/>
        <v>55.5</v>
      </c>
      <c r="BH12" s="97">
        <f t="shared" si="1"/>
        <v>54.5</v>
      </c>
      <c r="BI12" s="97">
        <f t="shared" si="1"/>
        <v>56.5</v>
      </c>
      <c r="BJ12" s="97">
        <f t="shared" si="1"/>
        <v>61</v>
      </c>
      <c r="BK12" s="97">
        <f t="shared" si="1"/>
        <v>51</v>
      </c>
      <c r="BL12" s="97">
        <f t="shared" si="1"/>
        <v>58.5</v>
      </c>
      <c r="BM12" s="97">
        <f t="shared" si="1"/>
        <v>59</v>
      </c>
      <c r="BN12" s="97">
        <f t="shared" si="1"/>
        <v>56</v>
      </c>
      <c r="BO12" s="97">
        <f t="shared" si="1"/>
        <v>62</v>
      </c>
      <c r="BP12" s="97">
        <f t="shared" si="1"/>
        <v>58</v>
      </c>
      <c r="BQ12" s="97">
        <f t="shared" si="1"/>
        <v>69.5</v>
      </c>
      <c r="BR12" s="97"/>
      <c r="BS12" s="97"/>
      <c r="BT12" s="97"/>
      <c r="BU12" s="97">
        <f t="shared" ref="BU12:CC12" si="2">AG14</f>
        <v>57</v>
      </c>
      <c r="BV12" s="97">
        <f t="shared" si="2"/>
        <v>58.5</v>
      </c>
      <c r="BW12" s="97">
        <f t="shared" si="2"/>
        <v>60.5</v>
      </c>
      <c r="BX12" s="97">
        <f t="shared" si="2"/>
        <v>59.5</v>
      </c>
      <c r="BY12" s="97">
        <f t="shared" si="2"/>
        <v>64</v>
      </c>
      <c r="BZ12" s="97">
        <f t="shared" si="2"/>
        <v>60</v>
      </c>
      <c r="CA12" s="97">
        <f t="shared" si="2"/>
        <v>56</v>
      </c>
      <c r="CB12" s="97">
        <f t="shared" si="2"/>
        <v>61.5</v>
      </c>
      <c r="CC12" s="97">
        <f t="shared" si="2"/>
        <v>51</v>
      </c>
    </row>
    <row r="13" spans="1:81" ht="16.5" customHeight="1">
      <c r="A13" s="100" t="s">
        <v>105</v>
      </c>
      <c r="B13" s="149">
        <f>'G-1'!F10</f>
        <v>19</v>
      </c>
      <c r="C13" s="149">
        <f>'G-1'!F11</f>
        <v>18</v>
      </c>
      <c r="D13" s="149">
        <f>'G-1'!F12</f>
        <v>13.5</v>
      </c>
      <c r="E13" s="149">
        <f>'G-1'!F13</f>
        <v>6</v>
      </c>
      <c r="F13" s="149">
        <f>'G-1'!F14</f>
        <v>17.5</v>
      </c>
      <c r="G13" s="149">
        <f>'G-1'!F15</f>
        <v>12</v>
      </c>
      <c r="H13" s="149">
        <f>'G-1'!F16</f>
        <v>7</v>
      </c>
      <c r="I13" s="149">
        <f>'G-1'!F17</f>
        <v>16.5</v>
      </c>
      <c r="J13" s="149">
        <f>'G-1'!F18</f>
        <v>14</v>
      </c>
      <c r="K13" s="149">
        <f>'G-1'!F19</f>
        <v>9</v>
      </c>
      <c r="L13" s="150"/>
      <c r="M13" s="149">
        <f>'G-1'!F20</f>
        <v>14.5</v>
      </c>
      <c r="N13" s="149">
        <f>'G-1'!F21</f>
        <v>19.5</v>
      </c>
      <c r="O13" s="149">
        <f>'G-1'!F22</f>
        <v>13</v>
      </c>
      <c r="P13" s="149">
        <f>'G-1'!M10</f>
        <v>8.5</v>
      </c>
      <c r="Q13" s="149">
        <f>'G-1'!M11</f>
        <v>10.5</v>
      </c>
      <c r="R13" s="149">
        <f>'G-1'!M12</f>
        <v>23.5</v>
      </c>
      <c r="S13" s="149">
        <f>'G-1'!M13</f>
        <v>12</v>
      </c>
      <c r="T13" s="149">
        <f>'G-1'!M14</f>
        <v>10.5</v>
      </c>
      <c r="U13" s="149">
        <f>'G-1'!M15</f>
        <v>15</v>
      </c>
      <c r="V13" s="149">
        <f>'G-1'!M16</f>
        <v>13.5</v>
      </c>
      <c r="W13" s="149">
        <f>'G-1'!M17</f>
        <v>19.5</v>
      </c>
      <c r="X13" s="149">
        <f>'G-1'!M18</f>
        <v>11</v>
      </c>
      <c r="Y13" s="149">
        <f>'G-1'!M19</f>
        <v>12</v>
      </c>
      <c r="Z13" s="149">
        <f>'G-1'!M20</f>
        <v>19.5</v>
      </c>
      <c r="AA13" s="149">
        <f>'G-1'!M21</f>
        <v>15.5</v>
      </c>
      <c r="AB13" s="149">
        <f>'G-1'!M22</f>
        <v>22.5</v>
      </c>
      <c r="AC13" s="150"/>
      <c r="AD13" s="149">
        <f>'G-1'!T10</f>
        <v>12</v>
      </c>
      <c r="AE13" s="149">
        <f>'G-1'!T11</f>
        <v>14.5</v>
      </c>
      <c r="AF13" s="149">
        <f>'G-1'!T12</f>
        <v>13.5</v>
      </c>
      <c r="AG13" s="149">
        <f>'G-1'!T13</f>
        <v>17</v>
      </c>
      <c r="AH13" s="149">
        <f>'G-1'!T14</f>
        <v>13.5</v>
      </c>
      <c r="AI13" s="149">
        <f>'G-1'!T15</f>
        <v>16.5</v>
      </c>
      <c r="AJ13" s="149">
        <f>'G-1'!T16</f>
        <v>12.5</v>
      </c>
      <c r="AK13" s="149">
        <f>'G-1'!T17</f>
        <v>21.5</v>
      </c>
      <c r="AL13" s="149">
        <f>'G-1'!T18</f>
        <v>9.5</v>
      </c>
      <c r="AM13" s="149">
        <f>'G-1'!T19</f>
        <v>12.5</v>
      </c>
      <c r="AN13" s="149">
        <f>'G-1'!T20</f>
        <v>18</v>
      </c>
      <c r="AO13" s="149">
        <f>'G-1'!T21</f>
        <v>11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>
      <c r="A14" s="100" t="s">
        <v>106</v>
      </c>
      <c r="B14" s="149"/>
      <c r="C14" s="149"/>
      <c r="D14" s="149"/>
      <c r="E14" s="149">
        <f>B13+C13+D13+E13</f>
        <v>56.5</v>
      </c>
      <c r="F14" s="149">
        <f t="shared" ref="F14:K14" si="3">C13+D13+E13+F13</f>
        <v>55</v>
      </c>
      <c r="G14" s="149">
        <f t="shared" si="3"/>
        <v>49</v>
      </c>
      <c r="H14" s="149">
        <f t="shared" si="3"/>
        <v>42.5</v>
      </c>
      <c r="I14" s="149">
        <f t="shared" si="3"/>
        <v>53</v>
      </c>
      <c r="J14" s="149">
        <f t="shared" si="3"/>
        <v>49.5</v>
      </c>
      <c r="K14" s="149">
        <f t="shared" si="3"/>
        <v>46.5</v>
      </c>
      <c r="L14" s="150"/>
      <c r="M14" s="149"/>
      <c r="N14" s="149"/>
      <c r="O14" s="149"/>
      <c r="P14" s="149">
        <f>M13+N13+O13+P13</f>
        <v>55.5</v>
      </c>
      <c r="Q14" s="149">
        <f t="shared" ref="Q14:AB14" si="4">N13+O13+P13+Q13</f>
        <v>51.5</v>
      </c>
      <c r="R14" s="149">
        <f t="shared" si="4"/>
        <v>55.5</v>
      </c>
      <c r="S14" s="149">
        <f t="shared" si="4"/>
        <v>54.5</v>
      </c>
      <c r="T14" s="149">
        <f t="shared" si="4"/>
        <v>56.5</v>
      </c>
      <c r="U14" s="149">
        <f t="shared" si="4"/>
        <v>61</v>
      </c>
      <c r="V14" s="149">
        <f t="shared" si="4"/>
        <v>51</v>
      </c>
      <c r="W14" s="149">
        <f t="shared" si="4"/>
        <v>58.5</v>
      </c>
      <c r="X14" s="149">
        <f t="shared" si="4"/>
        <v>59</v>
      </c>
      <c r="Y14" s="149">
        <f t="shared" si="4"/>
        <v>56</v>
      </c>
      <c r="Z14" s="149">
        <f t="shared" si="4"/>
        <v>62</v>
      </c>
      <c r="AA14" s="149">
        <f t="shared" si="4"/>
        <v>58</v>
      </c>
      <c r="AB14" s="149">
        <f t="shared" si="4"/>
        <v>69.5</v>
      </c>
      <c r="AC14" s="150"/>
      <c r="AD14" s="149"/>
      <c r="AE14" s="149"/>
      <c r="AF14" s="149"/>
      <c r="AG14" s="149">
        <f>AD13+AE13+AF13+AG13</f>
        <v>57</v>
      </c>
      <c r="AH14" s="149">
        <f t="shared" ref="AH14:AO14" si="5">AE13+AF13+AG13+AH13</f>
        <v>58.5</v>
      </c>
      <c r="AI14" s="149">
        <f t="shared" si="5"/>
        <v>60.5</v>
      </c>
      <c r="AJ14" s="149">
        <f t="shared" si="5"/>
        <v>59.5</v>
      </c>
      <c r="AK14" s="149">
        <f t="shared" si="5"/>
        <v>64</v>
      </c>
      <c r="AL14" s="149">
        <f t="shared" si="5"/>
        <v>60</v>
      </c>
      <c r="AM14" s="149">
        <f t="shared" si="5"/>
        <v>56</v>
      </c>
      <c r="AN14" s="149">
        <f t="shared" si="5"/>
        <v>61.5</v>
      </c>
      <c r="AO14" s="149">
        <f t="shared" si="5"/>
        <v>51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>
      <c r="A15" s="97" t="s">
        <v>107</v>
      </c>
      <c r="B15" s="151"/>
      <c r="C15" s="152" t="s">
        <v>108</v>
      </c>
      <c r="D15" s="153">
        <f>DIRECCIONALIDAD!J10/100</f>
        <v>5.7692307692307689E-2</v>
      </c>
      <c r="E15" s="152"/>
      <c r="F15" s="152" t="s">
        <v>109</v>
      </c>
      <c r="G15" s="153">
        <f>DIRECCIONALIDAD!J11/100</f>
        <v>0.86538461538461542</v>
      </c>
      <c r="H15" s="152"/>
      <c r="I15" s="152" t="s">
        <v>110</v>
      </c>
      <c r="J15" s="153">
        <f>DIRECCIONALIDAD!J12/100</f>
        <v>7.6923076923076927E-2</v>
      </c>
      <c r="K15" s="154"/>
      <c r="L15" s="148"/>
      <c r="M15" s="151"/>
      <c r="N15" s="152"/>
      <c r="O15" s="152" t="s">
        <v>108</v>
      </c>
      <c r="P15" s="153">
        <f>DIRECCIONALIDAD!J13/100</f>
        <v>6.0606060606060608E-2</v>
      </c>
      <c r="Q15" s="152"/>
      <c r="R15" s="152"/>
      <c r="S15" s="152"/>
      <c r="T15" s="152" t="s">
        <v>109</v>
      </c>
      <c r="U15" s="153">
        <f>DIRECCIONALIDAD!J14/100</f>
        <v>0.83333333333333348</v>
      </c>
      <c r="V15" s="152"/>
      <c r="W15" s="152"/>
      <c r="X15" s="152"/>
      <c r="Y15" s="152" t="s">
        <v>110</v>
      </c>
      <c r="Z15" s="153">
        <f>DIRECCIONALIDAD!J15/100</f>
        <v>0.10606060606060605</v>
      </c>
      <c r="AA15" s="152"/>
      <c r="AB15" s="154"/>
      <c r="AC15" s="148"/>
      <c r="AD15" s="151"/>
      <c r="AE15" s="152" t="s">
        <v>108</v>
      </c>
      <c r="AF15" s="153">
        <f>DIRECCIONALIDAD!J16/100</f>
        <v>0.18965517241379309</v>
      </c>
      <c r="AG15" s="152"/>
      <c r="AH15" s="152"/>
      <c r="AI15" s="152"/>
      <c r="AJ15" s="152" t="s">
        <v>109</v>
      </c>
      <c r="AK15" s="153">
        <f>DIRECCIONALIDAD!J17/100</f>
        <v>0.60344827586206895</v>
      </c>
      <c r="AL15" s="152"/>
      <c r="AM15" s="152"/>
      <c r="AN15" s="152" t="s">
        <v>110</v>
      </c>
      <c r="AO15" s="155">
        <f>DIRECCIONALIDAD!J18/100</f>
        <v>0.20689655172413793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>
      <c r="A16" s="159" t="s">
        <v>151</v>
      </c>
      <c r="B16" s="160">
        <f>MAX(B14:K14)</f>
        <v>56.5</v>
      </c>
      <c r="C16" s="152" t="s">
        <v>108</v>
      </c>
      <c r="D16" s="161">
        <f>+B16*D15</f>
        <v>3.2596153846153846</v>
      </c>
      <c r="E16" s="152"/>
      <c r="F16" s="152" t="s">
        <v>109</v>
      </c>
      <c r="G16" s="161">
        <f>+B16*G15</f>
        <v>48.894230769230774</v>
      </c>
      <c r="H16" s="152"/>
      <c r="I16" s="152" t="s">
        <v>110</v>
      </c>
      <c r="J16" s="161">
        <f>+B16*J15</f>
        <v>4.3461538461538467</v>
      </c>
      <c r="K16" s="154"/>
      <c r="L16" s="148"/>
      <c r="M16" s="160">
        <f>MAX(M14:AB14)</f>
        <v>69.5</v>
      </c>
      <c r="N16" s="152"/>
      <c r="O16" s="152" t="s">
        <v>108</v>
      </c>
      <c r="P16" s="162">
        <f>+M16*P15</f>
        <v>4.2121212121212119</v>
      </c>
      <c r="Q16" s="152"/>
      <c r="R16" s="152"/>
      <c r="S16" s="152"/>
      <c r="T16" s="152" t="s">
        <v>109</v>
      </c>
      <c r="U16" s="162">
        <f>+M16*U15</f>
        <v>57.916666666666679</v>
      </c>
      <c r="V16" s="152"/>
      <c r="W16" s="152"/>
      <c r="X16" s="152"/>
      <c r="Y16" s="152" t="s">
        <v>110</v>
      </c>
      <c r="Z16" s="162">
        <f>+M16*Z15</f>
        <v>7.3712121212121202</v>
      </c>
      <c r="AA16" s="152"/>
      <c r="AB16" s="154"/>
      <c r="AC16" s="148"/>
      <c r="AD16" s="160">
        <f>MAX(AD14:AO14)</f>
        <v>64</v>
      </c>
      <c r="AE16" s="152" t="s">
        <v>108</v>
      </c>
      <c r="AF16" s="161">
        <f>+AD16*AF15</f>
        <v>12.137931034482758</v>
      </c>
      <c r="AG16" s="152"/>
      <c r="AH16" s="152"/>
      <c r="AI16" s="152"/>
      <c r="AJ16" s="152" t="s">
        <v>109</v>
      </c>
      <c r="AK16" s="161">
        <f>+AD16*AK15</f>
        <v>38.620689655172413</v>
      </c>
      <c r="AL16" s="152"/>
      <c r="AM16" s="152"/>
      <c r="AN16" s="152" t="s">
        <v>110</v>
      </c>
      <c r="AO16" s="163">
        <f>+AD16*AO15</f>
        <v>13.241379310344827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428" t="s">
        <v>104</v>
      </c>
      <c r="U17" s="42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>
      <c r="A18" s="100" t="s">
        <v>105</v>
      </c>
      <c r="B18" s="149">
        <f>'G-2'!F10</f>
        <v>8.5</v>
      </c>
      <c r="C18" s="149">
        <f>'G-2'!F11</f>
        <v>12</v>
      </c>
      <c r="D18" s="149">
        <f>'G-2'!F12</f>
        <v>14.5</v>
      </c>
      <c r="E18" s="149">
        <f>'G-2'!F13</f>
        <v>21.5</v>
      </c>
      <c r="F18" s="149">
        <f>'G-2'!F14</f>
        <v>13</v>
      </c>
      <c r="G18" s="149">
        <f>'G-2'!F15</f>
        <v>9.5</v>
      </c>
      <c r="H18" s="149">
        <f>'G-2'!F16</f>
        <v>10</v>
      </c>
      <c r="I18" s="149">
        <f>'G-2'!F17</f>
        <v>16.5</v>
      </c>
      <c r="J18" s="149">
        <f>'G-2'!F18</f>
        <v>8.5</v>
      </c>
      <c r="K18" s="149">
        <f>'G-2'!F19</f>
        <v>12.5</v>
      </c>
      <c r="L18" s="150"/>
      <c r="M18" s="149">
        <f>'G-2'!F20</f>
        <v>11.5</v>
      </c>
      <c r="N18" s="149">
        <f>'G-2'!F21</f>
        <v>17</v>
      </c>
      <c r="O18" s="149">
        <f>'G-2'!F22</f>
        <v>18.5</v>
      </c>
      <c r="P18" s="149">
        <f>'G-2'!M10</f>
        <v>13</v>
      </c>
      <c r="Q18" s="149">
        <f>'G-2'!M11</f>
        <v>13.5</v>
      </c>
      <c r="R18" s="149">
        <f>'G-2'!M12</f>
        <v>9.5</v>
      </c>
      <c r="S18" s="149">
        <f>'G-2'!M13</f>
        <v>11</v>
      </c>
      <c r="T18" s="149">
        <f>'G-2'!M14</f>
        <v>10.5</v>
      </c>
      <c r="U18" s="149">
        <f>'G-2'!M15</f>
        <v>9</v>
      </c>
      <c r="V18" s="149">
        <f>'G-2'!M16</f>
        <v>8.5</v>
      </c>
      <c r="W18" s="149">
        <f>'G-2'!M17</f>
        <v>6.5</v>
      </c>
      <c r="X18" s="149">
        <f>'G-2'!M18</f>
        <v>7</v>
      </c>
      <c r="Y18" s="149">
        <f>'G-2'!M19</f>
        <v>9.5</v>
      </c>
      <c r="Z18" s="149">
        <f>'G-2'!M20</f>
        <v>15</v>
      </c>
      <c r="AA18" s="149">
        <f>'G-2'!M21</f>
        <v>12.5</v>
      </c>
      <c r="AB18" s="149">
        <f>'G-2'!M22</f>
        <v>16</v>
      </c>
      <c r="AC18" s="150"/>
      <c r="AD18" s="149">
        <f>'G-2'!T10</f>
        <v>16.5</v>
      </c>
      <c r="AE18" s="149">
        <f>'G-2'!T11</f>
        <v>23</v>
      </c>
      <c r="AF18" s="149">
        <f>'G-2'!T12</f>
        <v>24</v>
      </c>
      <c r="AG18" s="149">
        <f>'G-2'!T13</f>
        <v>20.5</v>
      </c>
      <c r="AH18" s="149">
        <f>'G-2'!T14</f>
        <v>15.5</v>
      </c>
      <c r="AI18" s="149">
        <f>'G-2'!T15</f>
        <v>10.5</v>
      </c>
      <c r="AJ18" s="149">
        <f>'G-2'!T16</f>
        <v>13.5</v>
      </c>
      <c r="AK18" s="149">
        <f>'G-2'!T17</f>
        <v>10.5</v>
      </c>
      <c r="AL18" s="149">
        <f>'G-2'!T18</f>
        <v>22</v>
      </c>
      <c r="AM18" s="149">
        <f>'G-2'!T19</f>
        <v>17.5</v>
      </c>
      <c r="AN18" s="149">
        <f>'G-2'!T20</f>
        <v>16</v>
      </c>
      <c r="AO18" s="149">
        <f>'G-2'!T21</f>
        <v>12</v>
      </c>
      <c r="AP18" s="101"/>
      <c r="AQ18" s="101"/>
      <c r="AR18" s="101"/>
      <c r="AS18" s="101"/>
      <c r="AT18" s="101"/>
      <c r="AU18" s="101">
        <f t="shared" ref="AU18:BA18" si="6">E19</f>
        <v>56.5</v>
      </c>
      <c r="AV18" s="101">
        <f t="shared" si="6"/>
        <v>61</v>
      </c>
      <c r="AW18" s="101">
        <f t="shared" si="6"/>
        <v>58.5</v>
      </c>
      <c r="AX18" s="101">
        <f t="shared" si="6"/>
        <v>54</v>
      </c>
      <c r="AY18" s="101">
        <f t="shared" si="6"/>
        <v>49</v>
      </c>
      <c r="AZ18" s="101">
        <f t="shared" si="6"/>
        <v>44.5</v>
      </c>
      <c r="BA18" s="101">
        <f t="shared" si="6"/>
        <v>47.5</v>
      </c>
      <c r="BB18" s="101"/>
      <c r="BC18" s="101"/>
      <c r="BD18" s="101"/>
      <c r="BE18" s="101">
        <f t="shared" ref="BE18:BQ18" si="7">P19</f>
        <v>60</v>
      </c>
      <c r="BF18" s="101">
        <f t="shared" si="7"/>
        <v>62</v>
      </c>
      <c r="BG18" s="101">
        <f t="shared" si="7"/>
        <v>54.5</v>
      </c>
      <c r="BH18" s="101">
        <f t="shared" si="7"/>
        <v>47</v>
      </c>
      <c r="BI18" s="101">
        <f t="shared" si="7"/>
        <v>44.5</v>
      </c>
      <c r="BJ18" s="101">
        <f t="shared" si="7"/>
        <v>40</v>
      </c>
      <c r="BK18" s="101">
        <f t="shared" si="7"/>
        <v>39</v>
      </c>
      <c r="BL18" s="101">
        <f t="shared" si="7"/>
        <v>34.5</v>
      </c>
      <c r="BM18" s="101">
        <f t="shared" si="7"/>
        <v>31</v>
      </c>
      <c r="BN18" s="101">
        <f t="shared" si="7"/>
        <v>31.5</v>
      </c>
      <c r="BO18" s="101">
        <f t="shared" si="7"/>
        <v>38</v>
      </c>
      <c r="BP18" s="101">
        <f t="shared" si="7"/>
        <v>44</v>
      </c>
      <c r="BQ18" s="101">
        <f t="shared" si="7"/>
        <v>53</v>
      </c>
      <c r="BR18" s="101"/>
      <c r="BS18" s="101"/>
      <c r="BT18" s="101"/>
      <c r="BU18" s="101">
        <f t="shared" ref="BU18:CC18" si="8">AG19</f>
        <v>84</v>
      </c>
      <c r="BV18" s="101">
        <f t="shared" si="8"/>
        <v>83</v>
      </c>
      <c r="BW18" s="101">
        <f t="shared" si="8"/>
        <v>70.5</v>
      </c>
      <c r="BX18" s="101">
        <f t="shared" si="8"/>
        <v>60</v>
      </c>
      <c r="BY18" s="101">
        <f t="shared" si="8"/>
        <v>50</v>
      </c>
      <c r="BZ18" s="101">
        <f t="shared" si="8"/>
        <v>56.5</v>
      </c>
      <c r="CA18" s="101">
        <f t="shared" si="8"/>
        <v>63.5</v>
      </c>
      <c r="CB18" s="101">
        <f t="shared" si="8"/>
        <v>66</v>
      </c>
      <c r="CC18" s="101">
        <f t="shared" si="8"/>
        <v>67.5</v>
      </c>
    </row>
    <row r="19" spans="1:81" ht="16.5" customHeight="1">
      <c r="A19" s="100" t="s">
        <v>106</v>
      </c>
      <c r="B19" s="149"/>
      <c r="C19" s="149"/>
      <c r="D19" s="149"/>
      <c r="E19" s="149">
        <f>B18+C18+D18+E18</f>
        <v>56.5</v>
      </c>
      <c r="F19" s="149">
        <f t="shared" ref="F19:K19" si="9">C18+D18+E18+F18</f>
        <v>61</v>
      </c>
      <c r="G19" s="149">
        <f t="shared" si="9"/>
        <v>58.5</v>
      </c>
      <c r="H19" s="149">
        <f t="shared" si="9"/>
        <v>54</v>
      </c>
      <c r="I19" s="149">
        <f t="shared" si="9"/>
        <v>49</v>
      </c>
      <c r="J19" s="149">
        <f t="shared" si="9"/>
        <v>44.5</v>
      </c>
      <c r="K19" s="149">
        <f t="shared" si="9"/>
        <v>47.5</v>
      </c>
      <c r="L19" s="150"/>
      <c r="M19" s="149"/>
      <c r="N19" s="149"/>
      <c r="O19" s="149"/>
      <c r="P19" s="149">
        <f>M18+N18+O18+P18</f>
        <v>60</v>
      </c>
      <c r="Q19" s="149">
        <f t="shared" ref="Q19:AB19" si="10">N18+O18+P18+Q18</f>
        <v>62</v>
      </c>
      <c r="R19" s="149">
        <f t="shared" si="10"/>
        <v>54.5</v>
      </c>
      <c r="S19" s="149">
        <f t="shared" si="10"/>
        <v>47</v>
      </c>
      <c r="T19" s="149">
        <f t="shared" si="10"/>
        <v>44.5</v>
      </c>
      <c r="U19" s="149">
        <f t="shared" si="10"/>
        <v>40</v>
      </c>
      <c r="V19" s="149">
        <f t="shared" si="10"/>
        <v>39</v>
      </c>
      <c r="W19" s="149">
        <f t="shared" si="10"/>
        <v>34.5</v>
      </c>
      <c r="X19" s="149">
        <f t="shared" si="10"/>
        <v>31</v>
      </c>
      <c r="Y19" s="149">
        <f t="shared" si="10"/>
        <v>31.5</v>
      </c>
      <c r="Z19" s="149">
        <f t="shared" si="10"/>
        <v>38</v>
      </c>
      <c r="AA19" s="149">
        <f t="shared" si="10"/>
        <v>44</v>
      </c>
      <c r="AB19" s="149">
        <f t="shared" si="10"/>
        <v>53</v>
      </c>
      <c r="AC19" s="150"/>
      <c r="AD19" s="149"/>
      <c r="AE19" s="149"/>
      <c r="AF19" s="149"/>
      <c r="AG19" s="149">
        <f>AD18+AE18+AF18+AG18</f>
        <v>84</v>
      </c>
      <c r="AH19" s="149">
        <f t="shared" ref="AH19:AO19" si="11">AE18+AF18+AG18+AH18</f>
        <v>83</v>
      </c>
      <c r="AI19" s="149">
        <f t="shared" si="11"/>
        <v>70.5</v>
      </c>
      <c r="AJ19" s="149">
        <f t="shared" si="11"/>
        <v>60</v>
      </c>
      <c r="AK19" s="149">
        <f t="shared" si="11"/>
        <v>50</v>
      </c>
      <c r="AL19" s="149">
        <f t="shared" si="11"/>
        <v>56.5</v>
      </c>
      <c r="AM19" s="149">
        <f t="shared" si="11"/>
        <v>63.5</v>
      </c>
      <c r="AN19" s="149">
        <f t="shared" si="11"/>
        <v>66</v>
      </c>
      <c r="AO19" s="149">
        <f t="shared" si="11"/>
        <v>67.5</v>
      </c>
      <c r="AP19" s="101"/>
      <c r="AQ19" s="101"/>
      <c r="AR19" s="101"/>
      <c r="AS19" s="101"/>
      <c r="AT19" s="101"/>
      <c r="AU19" s="101">
        <f t="shared" ref="AU19:BA19" si="12">E29</f>
        <v>41.5</v>
      </c>
      <c r="AV19" s="101">
        <f t="shared" si="12"/>
        <v>44.5</v>
      </c>
      <c r="AW19" s="101">
        <f t="shared" si="12"/>
        <v>39.5</v>
      </c>
      <c r="AX19" s="101">
        <f t="shared" si="12"/>
        <v>40</v>
      </c>
      <c r="AY19" s="101">
        <f t="shared" si="12"/>
        <v>45</v>
      </c>
      <c r="AZ19" s="101">
        <f t="shared" si="12"/>
        <v>30.5</v>
      </c>
      <c r="BA19" s="101">
        <f t="shared" si="12"/>
        <v>29.5</v>
      </c>
      <c r="BB19" s="101"/>
      <c r="BC19" s="101"/>
      <c r="BD19" s="101"/>
      <c r="BE19" s="101">
        <f t="shared" ref="BE19:BQ19" si="13">P29</f>
        <v>25</v>
      </c>
      <c r="BF19" s="101">
        <f t="shared" si="13"/>
        <v>21</v>
      </c>
      <c r="BG19" s="101">
        <f t="shared" si="13"/>
        <v>27.5</v>
      </c>
      <c r="BH19" s="101">
        <f t="shared" si="13"/>
        <v>34.5</v>
      </c>
      <c r="BI19" s="101">
        <f t="shared" si="13"/>
        <v>44</v>
      </c>
      <c r="BJ19" s="101">
        <f t="shared" si="13"/>
        <v>51</v>
      </c>
      <c r="BK19" s="101">
        <f t="shared" si="13"/>
        <v>44.5</v>
      </c>
      <c r="BL19" s="101">
        <f t="shared" si="13"/>
        <v>41.5</v>
      </c>
      <c r="BM19" s="101">
        <f t="shared" si="13"/>
        <v>41</v>
      </c>
      <c r="BN19" s="101">
        <f t="shared" si="13"/>
        <v>43.5</v>
      </c>
      <c r="BO19" s="101">
        <f t="shared" si="13"/>
        <v>43</v>
      </c>
      <c r="BP19" s="101">
        <f t="shared" si="13"/>
        <v>41</v>
      </c>
      <c r="BQ19" s="101">
        <f t="shared" si="13"/>
        <v>35.5</v>
      </c>
      <c r="BR19" s="101"/>
      <c r="BS19" s="101"/>
      <c r="BT19" s="101"/>
      <c r="BU19" s="101">
        <f t="shared" ref="BU19:CC19" si="14">AG29</f>
        <v>34.5</v>
      </c>
      <c r="BV19" s="101">
        <f t="shared" si="14"/>
        <v>28</v>
      </c>
      <c r="BW19" s="101">
        <f t="shared" si="14"/>
        <v>27</v>
      </c>
      <c r="BX19" s="101">
        <f t="shared" si="14"/>
        <v>27</v>
      </c>
      <c r="BY19" s="101">
        <f t="shared" si="14"/>
        <v>33</v>
      </c>
      <c r="BZ19" s="101">
        <f t="shared" si="14"/>
        <v>43.5</v>
      </c>
      <c r="CA19" s="101">
        <f t="shared" si="14"/>
        <v>45.5</v>
      </c>
      <c r="CB19" s="101">
        <f t="shared" si="14"/>
        <v>46.5</v>
      </c>
      <c r="CC19" s="101">
        <f t="shared" si="14"/>
        <v>41</v>
      </c>
    </row>
    <row r="20" spans="1:81" ht="16.5" customHeight="1">
      <c r="A20" s="97" t="s">
        <v>107</v>
      </c>
      <c r="B20" s="151"/>
      <c r="C20" s="152" t="s">
        <v>108</v>
      </c>
      <c r="D20" s="153">
        <f>DIRECCIONALIDAD!J19/100</f>
        <v>0.125</v>
      </c>
      <c r="E20" s="152"/>
      <c r="F20" s="152" t="s">
        <v>109</v>
      </c>
      <c r="G20" s="153">
        <f>DIRECCIONALIDAD!J20/100</f>
        <v>0.69318181818181823</v>
      </c>
      <c r="H20" s="152"/>
      <c r="I20" s="152" t="s">
        <v>110</v>
      </c>
      <c r="J20" s="153">
        <f>DIRECCIONALIDAD!J21/100</f>
        <v>0.18181818181818182</v>
      </c>
      <c r="K20" s="154"/>
      <c r="L20" s="148"/>
      <c r="M20" s="151"/>
      <c r="N20" s="152"/>
      <c r="O20" s="152" t="s">
        <v>108</v>
      </c>
      <c r="P20" s="153">
        <f>DIRECCIONALIDAD!J22/100</f>
        <v>0.10526315789473684</v>
      </c>
      <c r="Q20" s="152"/>
      <c r="R20" s="152"/>
      <c r="S20" s="152"/>
      <c r="T20" s="152" t="s">
        <v>109</v>
      </c>
      <c r="U20" s="153">
        <f>DIRECCIONALIDAD!J23/100</f>
        <v>0.8771929824561403</v>
      </c>
      <c r="V20" s="152"/>
      <c r="W20" s="152"/>
      <c r="X20" s="152"/>
      <c r="Y20" s="152" t="s">
        <v>110</v>
      </c>
      <c r="Z20" s="153">
        <f>DIRECCIONALIDAD!J24/100</f>
        <v>1.7543859649122806E-2</v>
      </c>
      <c r="AA20" s="152"/>
      <c r="AB20" s="154"/>
      <c r="AC20" s="148"/>
      <c r="AD20" s="151"/>
      <c r="AE20" s="152" t="s">
        <v>108</v>
      </c>
      <c r="AF20" s="153">
        <f>DIRECCIONALIDAD!J25/100</f>
        <v>0.21428571428571427</v>
      </c>
      <c r="AG20" s="152"/>
      <c r="AH20" s="152"/>
      <c r="AI20" s="152"/>
      <c r="AJ20" s="152" t="s">
        <v>109</v>
      </c>
      <c r="AK20" s="153">
        <f>DIRECCIONALIDAD!J26/100</f>
        <v>0.6785714285714286</v>
      </c>
      <c r="AL20" s="152"/>
      <c r="AM20" s="152"/>
      <c r="AN20" s="152" t="s">
        <v>110</v>
      </c>
      <c r="AO20" s="155">
        <f>DIRECCIONALIDAD!J27/100</f>
        <v>0.10714285714285714</v>
      </c>
      <c r="AP20" s="92"/>
      <c r="AQ20" s="92"/>
      <c r="AR20" s="92"/>
      <c r="AS20" s="92"/>
      <c r="AT20" s="92"/>
      <c r="AU20" s="92">
        <f t="shared" ref="AU20:BA20" si="15">E24</f>
        <v>53</v>
      </c>
      <c r="AV20" s="92">
        <f t="shared" si="15"/>
        <v>47</v>
      </c>
      <c r="AW20" s="92">
        <f t="shared" si="15"/>
        <v>35</v>
      </c>
      <c r="AX20" s="92">
        <f t="shared" si="15"/>
        <v>26.5</v>
      </c>
      <c r="AY20" s="92">
        <f t="shared" si="15"/>
        <v>22.5</v>
      </c>
      <c r="AZ20" s="92">
        <f t="shared" si="15"/>
        <v>28.5</v>
      </c>
      <c r="BA20" s="92">
        <f t="shared" si="15"/>
        <v>38.5</v>
      </c>
      <c r="BB20" s="92"/>
      <c r="BC20" s="92"/>
      <c r="BD20" s="92"/>
      <c r="BE20" s="92">
        <f t="shared" ref="BE20:BQ20" si="16">P24</f>
        <v>47.5</v>
      </c>
      <c r="BF20" s="92">
        <f t="shared" si="16"/>
        <v>40.5</v>
      </c>
      <c r="BG20" s="92">
        <f t="shared" si="16"/>
        <v>35</v>
      </c>
      <c r="BH20" s="92">
        <f t="shared" si="16"/>
        <v>34.5</v>
      </c>
      <c r="BI20" s="92">
        <f t="shared" si="16"/>
        <v>33.5</v>
      </c>
      <c r="BJ20" s="92">
        <f t="shared" si="16"/>
        <v>39</v>
      </c>
      <c r="BK20" s="92">
        <f t="shared" si="16"/>
        <v>38.5</v>
      </c>
      <c r="BL20" s="92">
        <f t="shared" si="16"/>
        <v>36.5</v>
      </c>
      <c r="BM20" s="92">
        <f t="shared" si="16"/>
        <v>34</v>
      </c>
      <c r="BN20" s="92">
        <f t="shared" si="16"/>
        <v>30</v>
      </c>
      <c r="BO20" s="92">
        <f t="shared" si="16"/>
        <v>28</v>
      </c>
      <c r="BP20" s="92">
        <f t="shared" si="16"/>
        <v>29.5</v>
      </c>
      <c r="BQ20" s="92">
        <f t="shared" si="16"/>
        <v>31</v>
      </c>
      <c r="BR20" s="92"/>
      <c r="BS20" s="92"/>
      <c r="BT20" s="92"/>
      <c r="BU20" s="92">
        <f t="shared" ref="BU20:CC20" si="17">AG24</f>
        <v>26</v>
      </c>
      <c r="BV20" s="92">
        <f t="shared" si="17"/>
        <v>25.5</v>
      </c>
      <c r="BW20" s="92">
        <f t="shared" si="17"/>
        <v>25</v>
      </c>
      <c r="BX20" s="92">
        <f t="shared" si="17"/>
        <v>25.5</v>
      </c>
      <c r="BY20" s="92">
        <f t="shared" si="17"/>
        <v>22.5</v>
      </c>
      <c r="BZ20" s="92">
        <f t="shared" si="17"/>
        <v>23</v>
      </c>
      <c r="CA20" s="92">
        <f t="shared" si="17"/>
        <v>24</v>
      </c>
      <c r="CB20" s="92">
        <f t="shared" si="17"/>
        <v>25</v>
      </c>
      <c r="CC20" s="92">
        <f t="shared" si="17"/>
        <v>24.5</v>
      </c>
    </row>
    <row r="21" spans="1:81" ht="16.5" customHeight="1">
      <c r="A21" s="159" t="s">
        <v>151</v>
      </c>
      <c r="B21" s="160">
        <f>MAX(B19:K19)</f>
        <v>61</v>
      </c>
      <c r="C21" s="152" t="s">
        <v>108</v>
      </c>
      <c r="D21" s="161">
        <f>+B21*D20</f>
        <v>7.625</v>
      </c>
      <c r="E21" s="152"/>
      <c r="F21" s="152" t="s">
        <v>109</v>
      </c>
      <c r="G21" s="161">
        <f>+B21*G20</f>
        <v>42.284090909090914</v>
      </c>
      <c r="H21" s="152"/>
      <c r="I21" s="152" t="s">
        <v>110</v>
      </c>
      <c r="J21" s="161">
        <f>+B21*J20</f>
        <v>11.090909090909092</v>
      </c>
      <c r="K21" s="154"/>
      <c r="L21" s="148"/>
      <c r="M21" s="160">
        <f>MAX(M19:AB19)</f>
        <v>62</v>
      </c>
      <c r="N21" s="152"/>
      <c r="O21" s="152" t="s">
        <v>108</v>
      </c>
      <c r="P21" s="162">
        <f>+M21*P20</f>
        <v>6.5263157894736841</v>
      </c>
      <c r="Q21" s="152"/>
      <c r="R21" s="152"/>
      <c r="S21" s="152"/>
      <c r="T21" s="152" t="s">
        <v>109</v>
      </c>
      <c r="U21" s="162">
        <f>+M21*U20</f>
        <v>54.385964912280699</v>
      </c>
      <c r="V21" s="152"/>
      <c r="W21" s="152"/>
      <c r="X21" s="152"/>
      <c r="Y21" s="152" t="s">
        <v>110</v>
      </c>
      <c r="Z21" s="162">
        <f>+M21*Z20</f>
        <v>1.0877192982456139</v>
      </c>
      <c r="AA21" s="152"/>
      <c r="AB21" s="154"/>
      <c r="AC21" s="148"/>
      <c r="AD21" s="160">
        <f>MAX(AD19:AO19)</f>
        <v>84</v>
      </c>
      <c r="AE21" s="152" t="s">
        <v>108</v>
      </c>
      <c r="AF21" s="161">
        <f>+AD21*AF20</f>
        <v>18</v>
      </c>
      <c r="AG21" s="152"/>
      <c r="AH21" s="152"/>
      <c r="AI21" s="152"/>
      <c r="AJ21" s="152" t="s">
        <v>109</v>
      </c>
      <c r="AK21" s="161">
        <f>+AD21*AK20</f>
        <v>57</v>
      </c>
      <c r="AL21" s="152"/>
      <c r="AM21" s="152"/>
      <c r="AN21" s="152" t="s">
        <v>110</v>
      </c>
      <c r="AO21" s="163">
        <f>+AD21*AO20</f>
        <v>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428" t="s">
        <v>104</v>
      </c>
      <c r="U22" s="42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207.5</v>
      </c>
      <c r="AV22" s="92">
        <f t="shared" si="18"/>
        <v>207.5</v>
      </c>
      <c r="AW22" s="92">
        <f t="shared" si="18"/>
        <v>182</v>
      </c>
      <c r="AX22" s="92">
        <f t="shared" si="18"/>
        <v>163</v>
      </c>
      <c r="AY22" s="92">
        <f t="shared" si="18"/>
        <v>169.5</v>
      </c>
      <c r="AZ22" s="92">
        <f t="shared" si="18"/>
        <v>153</v>
      </c>
      <c r="BA22" s="92">
        <f t="shared" si="18"/>
        <v>162</v>
      </c>
      <c r="BB22" s="92"/>
      <c r="BC22" s="92"/>
      <c r="BD22" s="92"/>
      <c r="BE22" s="92">
        <f t="shared" ref="BE22:BQ22" si="19">P34</f>
        <v>188</v>
      </c>
      <c r="BF22" s="92">
        <f t="shared" si="19"/>
        <v>175</v>
      </c>
      <c r="BG22" s="92">
        <f t="shared" si="19"/>
        <v>172.5</v>
      </c>
      <c r="BH22" s="92">
        <f t="shared" si="19"/>
        <v>170.5</v>
      </c>
      <c r="BI22" s="92">
        <f t="shared" si="19"/>
        <v>178.5</v>
      </c>
      <c r="BJ22" s="92">
        <f t="shared" si="19"/>
        <v>191</v>
      </c>
      <c r="BK22" s="92">
        <f t="shared" si="19"/>
        <v>173</v>
      </c>
      <c r="BL22" s="92">
        <f t="shared" si="19"/>
        <v>171</v>
      </c>
      <c r="BM22" s="92">
        <f t="shared" si="19"/>
        <v>165</v>
      </c>
      <c r="BN22" s="92">
        <f t="shared" si="19"/>
        <v>161</v>
      </c>
      <c r="BO22" s="92">
        <f t="shared" si="19"/>
        <v>171</v>
      </c>
      <c r="BP22" s="92">
        <f t="shared" si="19"/>
        <v>172.5</v>
      </c>
      <c r="BQ22" s="92">
        <f t="shared" si="19"/>
        <v>189</v>
      </c>
      <c r="BR22" s="92"/>
      <c r="BS22" s="92"/>
      <c r="BT22" s="92"/>
      <c r="BU22" s="92">
        <f t="shared" ref="BU22:CC22" si="20">AG34</f>
        <v>201.5</v>
      </c>
      <c r="BV22" s="92">
        <f t="shared" si="20"/>
        <v>195</v>
      </c>
      <c r="BW22" s="92">
        <f t="shared" si="20"/>
        <v>183</v>
      </c>
      <c r="BX22" s="92">
        <f t="shared" si="20"/>
        <v>172</v>
      </c>
      <c r="BY22" s="92">
        <f t="shared" si="20"/>
        <v>169.5</v>
      </c>
      <c r="BZ22" s="92">
        <f t="shared" si="20"/>
        <v>183</v>
      </c>
      <c r="CA22" s="92">
        <f t="shared" si="20"/>
        <v>189</v>
      </c>
      <c r="CB22" s="92">
        <f t="shared" si="20"/>
        <v>199</v>
      </c>
      <c r="CC22" s="92">
        <f t="shared" si="20"/>
        <v>184</v>
      </c>
    </row>
    <row r="23" spans="1:81" ht="16.5" customHeight="1">
      <c r="A23" s="100" t="s">
        <v>105</v>
      </c>
      <c r="B23" s="149">
        <f>'G-3'!F10</f>
        <v>12</v>
      </c>
      <c r="C23" s="149">
        <f>'G-3'!F11</f>
        <v>14</v>
      </c>
      <c r="D23" s="149">
        <f>'G-3'!F12</f>
        <v>17.5</v>
      </c>
      <c r="E23" s="149">
        <f>'G-3'!F13</f>
        <v>9.5</v>
      </c>
      <c r="F23" s="149">
        <f>'G-3'!F14</f>
        <v>6</v>
      </c>
      <c r="G23" s="149">
        <f>'G-3'!F15</f>
        <v>2</v>
      </c>
      <c r="H23" s="149">
        <f>'G-3'!F16</f>
        <v>9</v>
      </c>
      <c r="I23" s="149">
        <f>'G-3'!F17</f>
        <v>5.5</v>
      </c>
      <c r="J23" s="149">
        <f>'G-3'!F18</f>
        <v>12</v>
      </c>
      <c r="K23" s="149">
        <f>'G-3'!F19</f>
        <v>12</v>
      </c>
      <c r="L23" s="150"/>
      <c r="M23" s="149">
        <f>'G-3'!F20</f>
        <v>12</v>
      </c>
      <c r="N23" s="149">
        <f>'G-3'!F21</f>
        <v>14.5</v>
      </c>
      <c r="O23" s="149">
        <f>'G-3'!F22</f>
        <v>11.5</v>
      </c>
      <c r="P23" s="149">
        <f>'G-3'!M10</f>
        <v>9.5</v>
      </c>
      <c r="Q23" s="149">
        <f>'G-3'!M11</f>
        <v>5</v>
      </c>
      <c r="R23" s="149">
        <f>'G-3'!M12</f>
        <v>9</v>
      </c>
      <c r="S23" s="149">
        <f>'G-3'!M13</f>
        <v>11</v>
      </c>
      <c r="T23" s="149">
        <f>'G-3'!M14</f>
        <v>8.5</v>
      </c>
      <c r="U23" s="149">
        <f>'G-3'!M15</f>
        <v>10.5</v>
      </c>
      <c r="V23" s="149">
        <f>'G-3'!M16</f>
        <v>8.5</v>
      </c>
      <c r="W23" s="149">
        <f>'G-3'!M17</f>
        <v>9</v>
      </c>
      <c r="X23" s="149">
        <f>'G-3'!M18</f>
        <v>6</v>
      </c>
      <c r="Y23" s="149">
        <f>'G-3'!M19</f>
        <v>6.5</v>
      </c>
      <c r="Z23" s="149">
        <f>'G-3'!M20</f>
        <v>6.5</v>
      </c>
      <c r="AA23" s="149">
        <f>'G-3'!M21</f>
        <v>10.5</v>
      </c>
      <c r="AB23" s="149">
        <f>'G-3'!M22</f>
        <v>7.5</v>
      </c>
      <c r="AC23" s="150"/>
      <c r="AD23" s="149">
        <f>'G-3'!T10</f>
        <v>7.5</v>
      </c>
      <c r="AE23" s="149">
        <f>'G-3'!T11</f>
        <v>6</v>
      </c>
      <c r="AF23" s="149">
        <f>'G-3'!T12</f>
        <v>3.5</v>
      </c>
      <c r="AG23" s="149">
        <f>'G-3'!T13</f>
        <v>9</v>
      </c>
      <c r="AH23" s="149">
        <f>'G-3'!T14</f>
        <v>7</v>
      </c>
      <c r="AI23" s="149">
        <f>'G-3'!T15</f>
        <v>5.5</v>
      </c>
      <c r="AJ23" s="149">
        <f>'G-3'!T16</f>
        <v>4</v>
      </c>
      <c r="AK23" s="149">
        <f>'G-3'!T17</f>
        <v>6</v>
      </c>
      <c r="AL23" s="149">
        <f>'G-3'!T18</f>
        <v>7.5</v>
      </c>
      <c r="AM23" s="149">
        <f>'G-3'!T19</f>
        <v>6.5</v>
      </c>
      <c r="AN23" s="149">
        <f>'G-3'!T20</f>
        <v>5</v>
      </c>
      <c r="AO23" s="149">
        <f>'G-3'!T21</f>
        <v>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>
      <c r="A24" s="100" t="s">
        <v>106</v>
      </c>
      <c r="B24" s="149"/>
      <c r="C24" s="149"/>
      <c r="D24" s="149"/>
      <c r="E24" s="149">
        <f>B23+C23+D23+E23</f>
        <v>53</v>
      </c>
      <c r="F24" s="149">
        <f t="shared" ref="F24:K24" si="21">C23+D23+E23+F23</f>
        <v>47</v>
      </c>
      <c r="G24" s="149">
        <f t="shared" si="21"/>
        <v>35</v>
      </c>
      <c r="H24" s="149">
        <f t="shared" si="21"/>
        <v>26.5</v>
      </c>
      <c r="I24" s="149">
        <f t="shared" si="21"/>
        <v>22.5</v>
      </c>
      <c r="J24" s="149">
        <f t="shared" si="21"/>
        <v>28.5</v>
      </c>
      <c r="K24" s="149">
        <f t="shared" si="21"/>
        <v>38.5</v>
      </c>
      <c r="L24" s="150"/>
      <c r="M24" s="149"/>
      <c r="N24" s="149"/>
      <c r="O24" s="149"/>
      <c r="P24" s="149">
        <f>M23+N23+O23+P23</f>
        <v>47.5</v>
      </c>
      <c r="Q24" s="149">
        <f t="shared" ref="Q24:AB24" si="22">N23+O23+P23+Q23</f>
        <v>40.5</v>
      </c>
      <c r="R24" s="149">
        <f t="shared" si="22"/>
        <v>35</v>
      </c>
      <c r="S24" s="149">
        <f t="shared" si="22"/>
        <v>34.5</v>
      </c>
      <c r="T24" s="149">
        <f t="shared" si="22"/>
        <v>33.5</v>
      </c>
      <c r="U24" s="149">
        <f t="shared" si="22"/>
        <v>39</v>
      </c>
      <c r="V24" s="149">
        <f t="shared" si="22"/>
        <v>38.5</v>
      </c>
      <c r="W24" s="149">
        <f t="shared" si="22"/>
        <v>36.5</v>
      </c>
      <c r="X24" s="149">
        <f t="shared" si="22"/>
        <v>34</v>
      </c>
      <c r="Y24" s="149">
        <f t="shared" si="22"/>
        <v>30</v>
      </c>
      <c r="Z24" s="149">
        <f t="shared" si="22"/>
        <v>28</v>
      </c>
      <c r="AA24" s="149">
        <f t="shared" si="22"/>
        <v>29.5</v>
      </c>
      <c r="AB24" s="149">
        <f t="shared" si="22"/>
        <v>31</v>
      </c>
      <c r="AC24" s="150"/>
      <c r="AD24" s="149"/>
      <c r="AE24" s="149"/>
      <c r="AF24" s="149"/>
      <c r="AG24" s="149">
        <f>AD23+AE23+AF23+AG23</f>
        <v>26</v>
      </c>
      <c r="AH24" s="149">
        <f t="shared" ref="AH24:AO24" si="23">AE23+AF23+AG23+AH23</f>
        <v>25.5</v>
      </c>
      <c r="AI24" s="149">
        <f t="shared" si="23"/>
        <v>25</v>
      </c>
      <c r="AJ24" s="149">
        <f t="shared" si="23"/>
        <v>25.5</v>
      </c>
      <c r="AK24" s="149">
        <f t="shared" si="23"/>
        <v>22.5</v>
      </c>
      <c r="AL24" s="149">
        <f t="shared" si="23"/>
        <v>23</v>
      </c>
      <c r="AM24" s="149">
        <f t="shared" si="23"/>
        <v>24</v>
      </c>
      <c r="AN24" s="149">
        <f t="shared" si="23"/>
        <v>25</v>
      </c>
      <c r="AO24" s="149">
        <f t="shared" si="23"/>
        <v>24.5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>
      <c r="A25" s="97" t="s">
        <v>107</v>
      </c>
      <c r="B25" s="151"/>
      <c r="C25" s="152" t="s">
        <v>108</v>
      </c>
      <c r="D25" s="153">
        <f>DIRECCIONALIDAD!J28/100</f>
        <v>8.6956521739130432E-2</v>
      </c>
      <c r="E25" s="152"/>
      <c r="F25" s="152" t="s">
        <v>109</v>
      </c>
      <c r="G25" s="153">
        <f>DIRECCIONALIDAD!J29/100</f>
        <v>0.43478260869565216</v>
      </c>
      <c r="H25" s="152"/>
      <c r="I25" s="152" t="s">
        <v>110</v>
      </c>
      <c r="J25" s="153">
        <f>DIRECCIONALIDAD!J30/100</f>
        <v>0.47826086956521741</v>
      </c>
      <c r="K25" s="154"/>
      <c r="L25" s="148"/>
      <c r="M25" s="151"/>
      <c r="N25" s="152"/>
      <c r="O25" s="152" t="s">
        <v>108</v>
      </c>
      <c r="P25" s="153">
        <f>DIRECCIONALIDAD!J31/100</f>
        <v>0.1111111111111111</v>
      </c>
      <c r="Q25" s="152"/>
      <c r="R25" s="152"/>
      <c r="S25" s="152"/>
      <c r="T25" s="152" t="s">
        <v>109</v>
      </c>
      <c r="U25" s="153">
        <f>DIRECCIONALIDAD!J32/100</f>
        <v>0.63888888888888884</v>
      </c>
      <c r="V25" s="152"/>
      <c r="W25" s="152"/>
      <c r="X25" s="152"/>
      <c r="Y25" s="152" t="s">
        <v>110</v>
      </c>
      <c r="Z25" s="153">
        <f>DIRECCIONALIDAD!J33/100</f>
        <v>0.25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0.76190476190476186</v>
      </c>
      <c r="AL25" s="152"/>
      <c r="AM25" s="152"/>
      <c r="AN25" s="152" t="s">
        <v>110</v>
      </c>
      <c r="AO25" s="155">
        <f>DIRECCIONALIDAD!J36/100</f>
        <v>0.23809523809523805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>
      <c r="A26" s="159" t="s">
        <v>151</v>
      </c>
      <c r="B26" s="160">
        <f>MAX(B24:K24)</f>
        <v>53</v>
      </c>
      <c r="C26" s="152" t="s">
        <v>108</v>
      </c>
      <c r="D26" s="161">
        <f>+B26*D25</f>
        <v>4.6086956521739131</v>
      </c>
      <c r="E26" s="152"/>
      <c r="F26" s="152" t="s">
        <v>109</v>
      </c>
      <c r="G26" s="161">
        <f>+B26*G25</f>
        <v>23.043478260869566</v>
      </c>
      <c r="H26" s="152"/>
      <c r="I26" s="152" t="s">
        <v>110</v>
      </c>
      <c r="J26" s="161">
        <f>+B26*J25</f>
        <v>25.347826086956523</v>
      </c>
      <c r="K26" s="154"/>
      <c r="L26" s="148"/>
      <c r="M26" s="160">
        <f>MAX(M24:AB24)</f>
        <v>47.5</v>
      </c>
      <c r="N26" s="152"/>
      <c r="O26" s="152" t="s">
        <v>108</v>
      </c>
      <c r="P26" s="162">
        <f>+M26*P25</f>
        <v>5.2777777777777777</v>
      </c>
      <c r="Q26" s="152"/>
      <c r="R26" s="152"/>
      <c r="S26" s="152"/>
      <c r="T26" s="152" t="s">
        <v>109</v>
      </c>
      <c r="U26" s="162">
        <f>+M26*U25</f>
        <v>30.347222222222221</v>
      </c>
      <c r="V26" s="152"/>
      <c r="W26" s="152"/>
      <c r="X26" s="152"/>
      <c r="Y26" s="152" t="s">
        <v>110</v>
      </c>
      <c r="Z26" s="162">
        <f>+M26*Z25</f>
        <v>11.875</v>
      </c>
      <c r="AA26" s="152"/>
      <c r="AB26" s="154"/>
      <c r="AC26" s="148"/>
      <c r="AD26" s="160">
        <f>MAX(AD24:AO24)</f>
        <v>26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19.80952380952381</v>
      </c>
      <c r="AL26" s="152"/>
      <c r="AM26" s="152"/>
      <c r="AN26" s="152" t="s">
        <v>110</v>
      </c>
      <c r="AO26" s="163">
        <f>+AD26*AO25</f>
        <v>6.1904761904761898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428" t="s">
        <v>104</v>
      </c>
      <c r="U27" s="42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>
      <c r="A28" s="100" t="s">
        <v>105</v>
      </c>
      <c r="B28" s="149">
        <f>'G-4'!F10</f>
        <v>14.5</v>
      </c>
      <c r="C28" s="149">
        <f>'G-4'!F11</f>
        <v>10</v>
      </c>
      <c r="D28" s="149">
        <f>'G-4'!F12</f>
        <v>11.5</v>
      </c>
      <c r="E28" s="149">
        <f>'G-4'!F13</f>
        <v>5.5</v>
      </c>
      <c r="F28" s="149">
        <f>'G-4'!F14</f>
        <v>17.5</v>
      </c>
      <c r="G28" s="149">
        <f>'G-4'!F15</f>
        <v>5</v>
      </c>
      <c r="H28" s="149">
        <f>'G-4'!F16</f>
        <v>12</v>
      </c>
      <c r="I28" s="149">
        <f>'G-4'!F17</f>
        <v>10.5</v>
      </c>
      <c r="J28" s="149">
        <f>'G-4'!F18</f>
        <v>3</v>
      </c>
      <c r="K28" s="149">
        <f>'G-4'!F19</f>
        <v>4</v>
      </c>
      <c r="L28" s="150"/>
      <c r="M28" s="149">
        <f>'G-4'!F20</f>
        <v>8</v>
      </c>
      <c r="N28" s="149">
        <f>'G-4'!F21</f>
        <v>9</v>
      </c>
      <c r="O28" s="149">
        <f>'G-4'!F22</f>
        <v>5.5</v>
      </c>
      <c r="P28" s="149">
        <f>'G-4'!M10</f>
        <v>2.5</v>
      </c>
      <c r="Q28" s="149">
        <f>'G-4'!M11</f>
        <v>4</v>
      </c>
      <c r="R28" s="149">
        <f>'G-4'!M12</f>
        <v>15.5</v>
      </c>
      <c r="S28" s="149">
        <f>'G-4'!M13</f>
        <v>12.5</v>
      </c>
      <c r="T28" s="149">
        <f>'G-4'!M14</f>
        <v>12</v>
      </c>
      <c r="U28" s="149">
        <f>'G-4'!M15</f>
        <v>11</v>
      </c>
      <c r="V28" s="149">
        <f>'G-4'!M16</f>
        <v>9</v>
      </c>
      <c r="W28" s="149">
        <f>'G-4'!M17</f>
        <v>9.5</v>
      </c>
      <c r="X28" s="149">
        <f>'G-4'!M18</f>
        <v>11.5</v>
      </c>
      <c r="Y28" s="149">
        <f>'G-4'!M19</f>
        <v>13.5</v>
      </c>
      <c r="Z28" s="149">
        <f>'G-4'!M20</f>
        <v>8.5</v>
      </c>
      <c r="AA28" s="149">
        <f>'G-4'!M21</f>
        <v>7.5</v>
      </c>
      <c r="AB28" s="149">
        <f>'G-4'!M22</f>
        <v>6</v>
      </c>
      <c r="AC28" s="150"/>
      <c r="AD28" s="149">
        <f>'G-4'!T10</f>
        <v>7.5</v>
      </c>
      <c r="AE28" s="149">
        <f>'G-4'!T11</f>
        <v>7.5</v>
      </c>
      <c r="AF28" s="149">
        <f>'G-4'!T12</f>
        <v>11</v>
      </c>
      <c r="AG28" s="149">
        <f>'G-4'!T13</f>
        <v>8.5</v>
      </c>
      <c r="AH28" s="149">
        <f>'G-4'!T14</f>
        <v>1</v>
      </c>
      <c r="AI28" s="149">
        <f>'G-4'!T15</f>
        <v>6.5</v>
      </c>
      <c r="AJ28" s="149">
        <f>'G-4'!T16</f>
        <v>11</v>
      </c>
      <c r="AK28" s="149">
        <f>'G-4'!T17</f>
        <v>14.5</v>
      </c>
      <c r="AL28" s="149">
        <f>'G-4'!T18</f>
        <v>11.5</v>
      </c>
      <c r="AM28" s="149">
        <f>'G-4'!T19</f>
        <v>8.5</v>
      </c>
      <c r="AN28" s="149">
        <f>'G-4'!T20</f>
        <v>12</v>
      </c>
      <c r="AO28" s="149">
        <f>'G-4'!T21</f>
        <v>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>
      <c r="A29" s="100" t="s">
        <v>106</v>
      </c>
      <c r="B29" s="149"/>
      <c r="C29" s="149"/>
      <c r="D29" s="149"/>
      <c r="E29" s="149">
        <f>B28+C28+D28+E28</f>
        <v>41.5</v>
      </c>
      <c r="F29" s="149">
        <f t="shared" ref="F29:K29" si="24">C28+D28+E28+F28</f>
        <v>44.5</v>
      </c>
      <c r="G29" s="149">
        <f t="shared" si="24"/>
        <v>39.5</v>
      </c>
      <c r="H29" s="149">
        <f t="shared" si="24"/>
        <v>40</v>
      </c>
      <c r="I29" s="149">
        <f t="shared" si="24"/>
        <v>45</v>
      </c>
      <c r="J29" s="149">
        <f t="shared" si="24"/>
        <v>30.5</v>
      </c>
      <c r="K29" s="149">
        <f t="shared" si="24"/>
        <v>29.5</v>
      </c>
      <c r="L29" s="150"/>
      <c r="M29" s="149"/>
      <c r="N29" s="149"/>
      <c r="O29" s="149"/>
      <c r="P29" s="149">
        <f>M28+N28+O28+P28</f>
        <v>25</v>
      </c>
      <c r="Q29" s="149">
        <f t="shared" ref="Q29:AB29" si="25">N28+O28+P28+Q28</f>
        <v>21</v>
      </c>
      <c r="R29" s="149">
        <f t="shared" si="25"/>
        <v>27.5</v>
      </c>
      <c r="S29" s="149">
        <f t="shared" si="25"/>
        <v>34.5</v>
      </c>
      <c r="T29" s="149">
        <f t="shared" si="25"/>
        <v>44</v>
      </c>
      <c r="U29" s="149">
        <f t="shared" si="25"/>
        <v>51</v>
      </c>
      <c r="V29" s="149">
        <f t="shared" si="25"/>
        <v>44.5</v>
      </c>
      <c r="W29" s="149">
        <f t="shared" si="25"/>
        <v>41.5</v>
      </c>
      <c r="X29" s="149">
        <f t="shared" si="25"/>
        <v>41</v>
      </c>
      <c r="Y29" s="149">
        <f t="shared" si="25"/>
        <v>43.5</v>
      </c>
      <c r="Z29" s="149">
        <f t="shared" si="25"/>
        <v>43</v>
      </c>
      <c r="AA29" s="149">
        <f t="shared" si="25"/>
        <v>41</v>
      </c>
      <c r="AB29" s="149">
        <f t="shared" si="25"/>
        <v>35.5</v>
      </c>
      <c r="AC29" s="150"/>
      <c r="AD29" s="149"/>
      <c r="AE29" s="149"/>
      <c r="AF29" s="149"/>
      <c r="AG29" s="149">
        <f>AD28+AE28+AF28+AG28</f>
        <v>34.5</v>
      </c>
      <c r="AH29" s="149">
        <f t="shared" ref="AH29:AO29" si="26">AE28+AF28+AG28+AH28</f>
        <v>28</v>
      </c>
      <c r="AI29" s="149">
        <f t="shared" si="26"/>
        <v>27</v>
      </c>
      <c r="AJ29" s="149">
        <f t="shared" si="26"/>
        <v>27</v>
      </c>
      <c r="AK29" s="149">
        <f t="shared" si="26"/>
        <v>33</v>
      </c>
      <c r="AL29" s="149">
        <f t="shared" si="26"/>
        <v>43.5</v>
      </c>
      <c r="AM29" s="149">
        <f t="shared" si="26"/>
        <v>45.5</v>
      </c>
      <c r="AN29" s="149">
        <f t="shared" si="26"/>
        <v>46.5</v>
      </c>
      <c r="AO29" s="149">
        <f t="shared" si="26"/>
        <v>41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>
      <c r="A30" s="97" t="s">
        <v>107</v>
      </c>
      <c r="B30" s="151"/>
      <c r="C30" s="152" t="s">
        <v>108</v>
      </c>
      <c r="D30" s="153">
        <f>DIRECCIONALIDAD!J37/100</f>
        <v>0.1111111111111111</v>
      </c>
      <c r="E30" s="152"/>
      <c r="F30" s="152" t="s">
        <v>109</v>
      </c>
      <c r="G30" s="153">
        <f>DIRECCIONALIDAD!J38/100</f>
        <v>0.66666666666666652</v>
      </c>
      <c r="H30" s="152"/>
      <c r="I30" s="152" t="s">
        <v>110</v>
      </c>
      <c r="J30" s="153">
        <f>DIRECCIONALIDAD!J39/100</f>
        <v>0.22222222222222221</v>
      </c>
      <c r="K30" s="154"/>
      <c r="L30" s="148"/>
      <c r="M30" s="151"/>
      <c r="N30" s="152"/>
      <c r="O30" s="152" t="s">
        <v>108</v>
      </c>
      <c r="P30" s="153">
        <f>DIRECCIONALIDAD!J40/100</f>
        <v>3.2258064516129031E-2</v>
      </c>
      <c r="Q30" s="152"/>
      <c r="R30" s="152"/>
      <c r="S30" s="152"/>
      <c r="T30" s="152" t="s">
        <v>109</v>
      </c>
      <c r="U30" s="153">
        <f>DIRECCIONALIDAD!J41/100</f>
        <v>0.83870967741935487</v>
      </c>
      <c r="V30" s="152"/>
      <c r="W30" s="152"/>
      <c r="X30" s="152"/>
      <c r="Y30" s="152" t="s">
        <v>110</v>
      </c>
      <c r="Z30" s="153">
        <f>DIRECCIONALIDAD!J42/100</f>
        <v>0.12903225806451613</v>
      </c>
      <c r="AA30" s="152"/>
      <c r="AB30" s="154"/>
      <c r="AC30" s="148"/>
      <c r="AD30" s="151"/>
      <c r="AE30" s="152" t="s">
        <v>108</v>
      </c>
      <c r="AF30" s="153">
        <f>DIRECCIONALIDAD!J43/100</f>
        <v>4.7619047619047616E-2</v>
      </c>
      <c r="AG30" s="152"/>
      <c r="AH30" s="152"/>
      <c r="AI30" s="152"/>
      <c r="AJ30" s="152" t="s">
        <v>109</v>
      </c>
      <c r="AK30" s="153">
        <f>DIRECCIONALIDAD!J44/100</f>
        <v>0.76190476190476186</v>
      </c>
      <c r="AL30" s="152"/>
      <c r="AM30" s="152"/>
      <c r="AN30" s="152" t="s">
        <v>110</v>
      </c>
      <c r="AO30" s="155">
        <f>DIRECCIONALIDAD!J45/100</f>
        <v>0.19047619047619047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>
      <c r="A31" s="159" t="s">
        <v>151</v>
      </c>
      <c r="B31" s="160">
        <f>MAX(B29:K29)</f>
        <v>45</v>
      </c>
      <c r="C31" s="152" t="s">
        <v>108</v>
      </c>
      <c r="D31" s="161">
        <f>+B31*D30</f>
        <v>5</v>
      </c>
      <c r="E31" s="152"/>
      <c r="F31" s="152" t="s">
        <v>109</v>
      </c>
      <c r="G31" s="161">
        <f>+B31*G30</f>
        <v>29.999999999999993</v>
      </c>
      <c r="H31" s="152"/>
      <c r="I31" s="152" t="s">
        <v>110</v>
      </c>
      <c r="J31" s="161">
        <f>+B31*J30</f>
        <v>10</v>
      </c>
      <c r="K31" s="154"/>
      <c r="L31" s="148"/>
      <c r="M31" s="160">
        <f>MAX(M29:AB29)</f>
        <v>51</v>
      </c>
      <c r="N31" s="152"/>
      <c r="O31" s="152" t="s">
        <v>108</v>
      </c>
      <c r="P31" s="162">
        <f>+M31*P30</f>
        <v>1.6451612903225805</v>
      </c>
      <c r="Q31" s="152"/>
      <c r="R31" s="152"/>
      <c r="S31" s="152"/>
      <c r="T31" s="152" t="s">
        <v>109</v>
      </c>
      <c r="U31" s="162">
        <f>+M31*U30</f>
        <v>42.774193548387096</v>
      </c>
      <c r="V31" s="152"/>
      <c r="W31" s="152"/>
      <c r="X31" s="152"/>
      <c r="Y31" s="152" t="s">
        <v>110</v>
      </c>
      <c r="Z31" s="162">
        <f>+M31*Z30</f>
        <v>6.5806451612903221</v>
      </c>
      <c r="AA31" s="152"/>
      <c r="AB31" s="154"/>
      <c r="AC31" s="148"/>
      <c r="AD31" s="160">
        <f>MAX(AD29:AO29)</f>
        <v>46.5</v>
      </c>
      <c r="AE31" s="152" t="s">
        <v>108</v>
      </c>
      <c r="AF31" s="161">
        <f>+AD31*AF30</f>
        <v>2.214285714285714</v>
      </c>
      <c r="AG31" s="152"/>
      <c r="AH31" s="152"/>
      <c r="AI31" s="152"/>
      <c r="AJ31" s="152" t="s">
        <v>109</v>
      </c>
      <c r="AK31" s="161">
        <f>+AD31*AK30</f>
        <v>35.428571428571423</v>
      </c>
      <c r="AL31" s="152"/>
      <c r="AM31" s="152"/>
      <c r="AN31" s="152" t="s">
        <v>110</v>
      </c>
      <c r="AO31" s="163">
        <f>+AD31*AO30</f>
        <v>8.8571428571428559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428" t="s">
        <v>104</v>
      </c>
      <c r="U32" s="42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>
      <c r="A33" s="100" t="s">
        <v>105</v>
      </c>
      <c r="B33" s="149">
        <f>B13+B18+B23+B28</f>
        <v>54</v>
      </c>
      <c r="C33" s="149">
        <f t="shared" ref="C33:K33" si="27">C13+C18+C23+C28</f>
        <v>54</v>
      </c>
      <c r="D33" s="149">
        <f t="shared" si="27"/>
        <v>57</v>
      </c>
      <c r="E33" s="149">
        <f t="shared" si="27"/>
        <v>42.5</v>
      </c>
      <c r="F33" s="149">
        <f t="shared" si="27"/>
        <v>54</v>
      </c>
      <c r="G33" s="149">
        <f t="shared" si="27"/>
        <v>28.5</v>
      </c>
      <c r="H33" s="149">
        <f t="shared" si="27"/>
        <v>38</v>
      </c>
      <c r="I33" s="149">
        <f t="shared" si="27"/>
        <v>49</v>
      </c>
      <c r="J33" s="149">
        <f t="shared" si="27"/>
        <v>37.5</v>
      </c>
      <c r="K33" s="149">
        <f t="shared" si="27"/>
        <v>37.5</v>
      </c>
      <c r="L33" s="150"/>
      <c r="M33" s="149">
        <f>M13+M18+M23+M28</f>
        <v>46</v>
      </c>
      <c r="N33" s="149">
        <f t="shared" ref="N33:AB33" si="28">N13+N18+N23+N28</f>
        <v>60</v>
      </c>
      <c r="O33" s="149">
        <f t="shared" si="28"/>
        <v>48.5</v>
      </c>
      <c r="P33" s="149">
        <f t="shared" si="28"/>
        <v>33.5</v>
      </c>
      <c r="Q33" s="149">
        <f t="shared" si="28"/>
        <v>33</v>
      </c>
      <c r="R33" s="149">
        <f t="shared" si="28"/>
        <v>57.5</v>
      </c>
      <c r="S33" s="149">
        <f t="shared" si="28"/>
        <v>46.5</v>
      </c>
      <c r="T33" s="149">
        <f t="shared" si="28"/>
        <v>41.5</v>
      </c>
      <c r="U33" s="149">
        <f t="shared" si="28"/>
        <v>45.5</v>
      </c>
      <c r="V33" s="149">
        <f t="shared" si="28"/>
        <v>39.5</v>
      </c>
      <c r="W33" s="149">
        <f t="shared" si="28"/>
        <v>44.5</v>
      </c>
      <c r="X33" s="149">
        <f t="shared" si="28"/>
        <v>35.5</v>
      </c>
      <c r="Y33" s="149">
        <f t="shared" si="28"/>
        <v>41.5</v>
      </c>
      <c r="Z33" s="149">
        <f t="shared" si="28"/>
        <v>49.5</v>
      </c>
      <c r="AA33" s="149">
        <f t="shared" si="28"/>
        <v>46</v>
      </c>
      <c r="AB33" s="149">
        <f t="shared" si="28"/>
        <v>52</v>
      </c>
      <c r="AC33" s="150"/>
      <c r="AD33" s="149">
        <f>AD13+AD18+AD23+AD28</f>
        <v>43.5</v>
      </c>
      <c r="AE33" s="149">
        <f t="shared" ref="AE33:AO33" si="29">AE13+AE18+AE23+AE28</f>
        <v>51</v>
      </c>
      <c r="AF33" s="149">
        <f t="shared" si="29"/>
        <v>52</v>
      </c>
      <c r="AG33" s="149">
        <f t="shared" si="29"/>
        <v>55</v>
      </c>
      <c r="AH33" s="149">
        <f t="shared" si="29"/>
        <v>37</v>
      </c>
      <c r="AI33" s="149">
        <f t="shared" si="29"/>
        <v>39</v>
      </c>
      <c r="AJ33" s="149">
        <f t="shared" si="29"/>
        <v>41</v>
      </c>
      <c r="AK33" s="149">
        <f t="shared" si="29"/>
        <v>52.5</v>
      </c>
      <c r="AL33" s="149">
        <f t="shared" si="29"/>
        <v>50.5</v>
      </c>
      <c r="AM33" s="149">
        <f t="shared" si="29"/>
        <v>45</v>
      </c>
      <c r="AN33" s="149">
        <f t="shared" si="29"/>
        <v>51</v>
      </c>
      <c r="AO33" s="149">
        <f t="shared" si="29"/>
        <v>37.5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>
      <c r="A34" s="100" t="s">
        <v>106</v>
      </c>
      <c r="B34" s="149"/>
      <c r="C34" s="149"/>
      <c r="D34" s="149"/>
      <c r="E34" s="149">
        <f>B33+C33+D33+E33</f>
        <v>207.5</v>
      </c>
      <c r="F34" s="149">
        <f t="shared" ref="F34:K34" si="30">C33+D33+E33+F33</f>
        <v>207.5</v>
      </c>
      <c r="G34" s="149">
        <f t="shared" si="30"/>
        <v>182</v>
      </c>
      <c r="H34" s="149">
        <f t="shared" si="30"/>
        <v>163</v>
      </c>
      <c r="I34" s="149">
        <f t="shared" si="30"/>
        <v>169.5</v>
      </c>
      <c r="J34" s="149">
        <f t="shared" si="30"/>
        <v>153</v>
      </c>
      <c r="K34" s="149">
        <f t="shared" si="30"/>
        <v>162</v>
      </c>
      <c r="L34" s="150"/>
      <c r="M34" s="149"/>
      <c r="N34" s="149"/>
      <c r="O34" s="149"/>
      <c r="P34" s="149">
        <f>M33+N33+O33+P33</f>
        <v>188</v>
      </c>
      <c r="Q34" s="149">
        <f t="shared" ref="Q34:AB34" si="31">N33+O33+P33+Q33</f>
        <v>175</v>
      </c>
      <c r="R34" s="149">
        <f t="shared" si="31"/>
        <v>172.5</v>
      </c>
      <c r="S34" s="149">
        <f t="shared" si="31"/>
        <v>170.5</v>
      </c>
      <c r="T34" s="149">
        <f t="shared" si="31"/>
        <v>178.5</v>
      </c>
      <c r="U34" s="149">
        <f t="shared" si="31"/>
        <v>191</v>
      </c>
      <c r="V34" s="149">
        <f t="shared" si="31"/>
        <v>173</v>
      </c>
      <c r="W34" s="149">
        <f t="shared" si="31"/>
        <v>171</v>
      </c>
      <c r="X34" s="149">
        <f t="shared" si="31"/>
        <v>165</v>
      </c>
      <c r="Y34" s="149">
        <f t="shared" si="31"/>
        <v>161</v>
      </c>
      <c r="Z34" s="149">
        <f t="shared" si="31"/>
        <v>171</v>
      </c>
      <c r="AA34" s="149">
        <f t="shared" si="31"/>
        <v>172.5</v>
      </c>
      <c r="AB34" s="149">
        <f t="shared" si="31"/>
        <v>189</v>
      </c>
      <c r="AC34" s="150"/>
      <c r="AD34" s="149"/>
      <c r="AE34" s="149"/>
      <c r="AF34" s="149"/>
      <c r="AG34" s="149">
        <f>AD33+AE33+AF33+AG33</f>
        <v>201.5</v>
      </c>
      <c r="AH34" s="149">
        <f t="shared" ref="AH34:AO34" si="32">AE33+AF33+AG33+AH33</f>
        <v>195</v>
      </c>
      <c r="AI34" s="149">
        <f t="shared" si="32"/>
        <v>183</v>
      </c>
      <c r="AJ34" s="149">
        <f t="shared" si="32"/>
        <v>172</v>
      </c>
      <c r="AK34" s="149">
        <f t="shared" si="32"/>
        <v>169.5</v>
      </c>
      <c r="AL34" s="149">
        <f t="shared" si="32"/>
        <v>183</v>
      </c>
      <c r="AM34" s="149">
        <f t="shared" si="32"/>
        <v>189</v>
      </c>
      <c r="AN34" s="149">
        <f t="shared" si="32"/>
        <v>199</v>
      </c>
      <c r="AO34" s="149">
        <f t="shared" si="32"/>
        <v>184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ht="16.5" customHeight="1">
      <c r="A35" s="159" t="s">
        <v>151</v>
      </c>
      <c r="B35" s="160">
        <f>MAX(B34:K34)</f>
        <v>207.5</v>
      </c>
      <c r="C35" s="152"/>
      <c r="D35" s="161"/>
      <c r="E35" s="152"/>
      <c r="F35" s="152"/>
      <c r="G35" s="161"/>
      <c r="H35" s="152"/>
      <c r="I35" s="152"/>
      <c r="J35" s="161"/>
      <c r="K35" s="154"/>
      <c r="L35" s="148"/>
      <c r="M35" s="160">
        <f>MAX(M34:AB34)</f>
        <v>191</v>
      </c>
      <c r="N35" s="152"/>
      <c r="O35" s="152"/>
      <c r="P35" s="162"/>
      <c r="Q35" s="152"/>
      <c r="R35" s="152"/>
      <c r="S35" s="152"/>
      <c r="T35" s="152"/>
      <c r="U35" s="162"/>
      <c r="V35" s="152"/>
      <c r="W35" s="152"/>
      <c r="X35" s="152"/>
      <c r="Y35" s="152"/>
      <c r="Z35" s="162"/>
      <c r="AA35" s="152"/>
      <c r="AB35" s="154"/>
      <c r="AC35" s="148"/>
      <c r="AD35" s="160">
        <f>MAX(AD34:AO34)</f>
        <v>201.5</v>
      </c>
      <c r="AE35" s="152"/>
      <c r="AF35" s="161"/>
      <c r="AG35" s="152"/>
      <c r="AH35" s="152"/>
      <c r="AI35" s="152"/>
      <c r="AJ35" s="152"/>
      <c r="AK35" s="161"/>
      <c r="AL35" s="152"/>
      <c r="AM35" s="152"/>
      <c r="AN35" s="152"/>
      <c r="AO35" s="163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429"/>
      <c r="R36" s="429"/>
      <c r="S36" s="429"/>
      <c r="T36" s="429"/>
      <c r="U36" s="42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5" orientation="landscape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topLeftCell="A7" workbookViewId="0">
      <selection activeCell="J12" sqref="J12"/>
    </sheetView>
  </sheetViews>
  <sheetFormatPr baseColWidth="10" defaultRowHeight="15"/>
  <cols>
    <col min="1" max="1" width="5.5703125" style="237" customWidth="1"/>
    <col min="2" max="2" width="6.28515625" style="237" customWidth="1"/>
    <col min="3" max="3" width="5.5703125" style="237" customWidth="1"/>
    <col min="4" max="4" width="6" style="237" customWidth="1"/>
    <col min="5" max="5" width="4.28515625" style="237" customWidth="1"/>
    <col min="6" max="6" width="6.42578125" style="237" customWidth="1"/>
    <col min="7" max="8" width="6" style="237" customWidth="1"/>
    <col min="9" max="9" width="5.28515625" style="237" customWidth="1"/>
    <col min="10" max="10" width="7.85546875" style="237" customWidth="1"/>
    <col min="11" max="11" width="7.5703125" style="237" customWidth="1"/>
    <col min="12" max="12" width="7.7109375" style="237" customWidth="1"/>
    <col min="13" max="13" width="8" style="237" customWidth="1"/>
    <col min="14" max="14" width="8.140625" style="237" customWidth="1"/>
    <col min="15" max="15" width="5.42578125" style="237" customWidth="1"/>
    <col min="16" max="16" width="7.5703125" style="237" customWidth="1"/>
    <col min="17" max="17" width="7.85546875" style="237" customWidth="1"/>
    <col min="18" max="18" width="7.5703125" style="237" customWidth="1"/>
    <col min="19" max="19" width="6.140625" style="237" customWidth="1"/>
    <col min="20" max="20" width="4.5703125" style="237" customWidth="1"/>
    <col min="21" max="21" width="6.85546875" style="237" customWidth="1"/>
    <col min="22" max="22" width="7.140625" style="237" customWidth="1"/>
    <col min="23" max="23" width="6" style="237" customWidth="1"/>
    <col min="24" max="24" width="6.7109375" style="237" customWidth="1"/>
    <col min="25" max="25" width="7.85546875" style="237" customWidth="1"/>
    <col min="26" max="26" width="6.7109375" style="237" customWidth="1"/>
    <col min="27" max="27" width="5.7109375" style="237" customWidth="1"/>
    <col min="28" max="28" width="4.85546875" style="237" customWidth="1"/>
    <col min="29" max="29" width="6.5703125" style="237" customWidth="1"/>
    <col min="30" max="30" width="7" style="237" customWidth="1"/>
    <col min="31" max="32" width="8.140625" style="237" customWidth="1"/>
    <col min="33" max="33" width="4.7109375" style="237" customWidth="1"/>
    <col min="34" max="34" width="4.5703125" style="237" customWidth="1"/>
    <col min="35" max="35" width="5.85546875" style="237" customWidth="1"/>
    <col min="36" max="36" width="6.28515625" style="237" customWidth="1"/>
    <col min="37" max="37" width="4.28515625" style="237" customWidth="1"/>
    <col min="38" max="38" width="4.140625" style="237" customWidth="1"/>
    <col min="39" max="39" width="6.85546875" style="237" customWidth="1"/>
    <col min="40" max="40" width="5" style="237" customWidth="1"/>
    <col min="41" max="41" width="8.42578125" style="237" customWidth="1"/>
    <col min="42" max="42" width="7" style="237" customWidth="1"/>
    <col min="43" max="43" width="7.85546875" style="237" customWidth="1"/>
    <col min="44" max="44" width="6" style="237" customWidth="1"/>
    <col min="45" max="45" width="5.7109375" style="237" customWidth="1"/>
    <col min="46" max="46" width="9.28515625" style="237" customWidth="1"/>
    <col min="47" max="47" width="10.28515625" style="237" customWidth="1"/>
    <col min="48" max="48" width="8.7109375" style="237" customWidth="1"/>
    <col min="49" max="58" width="11.42578125" style="236"/>
    <col min="59" max="16384" width="11.42578125" style="237"/>
  </cols>
  <sheetData>
    <row r="1" spans="1:58" s="218" customFormat="1" ht="50.25">
      <c r="A1" s="215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2" spans="1:58" s="218" customFormat="1" ht="18">
      <c r="A2" s="219" t="s">
        <v>153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7"/>
      <c r="AX2" s="217"/>
      <c r="AY2" s="217"/>
      <c r="AZ2" s="217"/>
      <c r="BA2" s="217"/>
      <c r="BB2" s="217"/>
      <c r="BC2" s="217"/>
      <c r="BD2" s="217"/>
      <c r="BE2" s="217"/>
      <c r="BF2" s="217"/>
    </row>
    <row r="3" spans="1:58" s="218" customFormat="1" ht="15.75">
      <c r="A3" s="220" t="s">
        <v>154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21" t="s">
        <v>155</v>
      </c>
      <c r="AR3" s="222"/>
      <c r="AS3" s="223" t="s">
        <v>156</v>
      </c>
      <c r="AT3" s="222"/>
      <c r="AU3" s="216"/>
      <c r="AV3" s="216"/>
      <c r="AW3" s="217"/>
      <c r="AX3" s="217"/>
      <c r="AY3" s="217"/>
      <c r="AZ3" s="217"/>
      <c r="BA3" s="217"/>
      <c r="BB3" s="217"/>
      <c r="BC3" s="217"/>
      <c r="BD3" s="217"/>
      <c r="BE3" s="217"/>
      <c r="BF3" s="217"/>
    </row>
    <row r="4" spans="1:58" s="218" customFormat="1">
      <c r="A4" s="224" t="s">
        <v>225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25"/>
      <c r="AR4" s="226"/>
      <c r="AS4" s="450">
        <f>+'G-1'!S6</f>
        <v>42892</v>
      </c>
      <c r="AT4" s="451"/>
      <c r="AU4" s="216"/>
      <c r="AV4" s="216"/>
      <c r="AW4" s="217"/>
      <c r="AX4" s="217"/>
      <c r="AY4" s="217"/>
      <c r="AZ4" s="217"/>
      <c r="BA4" s="217"/>
      <c r="BB4" s="217"/>
      <c r="BC4" s="217"/>
      <c r="BD4" s="217"/>
      <c r="BE4" s="217"/>
      <c r="BF4" s="217"/>
    </row>
    <row r="5" spans="1:58" s="218" customFormat="1">
      <c r="A5" s="227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7"/>
      <c r="AX5" s="217"/>
      <c r="AY5" s="217"/>
      <c r="AZ5" s="217"/>
      <c r="BA5" s="217"/>
      <c r="BB5" s="217"/>
      <c r="BC5" s="217"/>
      <c r="BD5" s="217"/>
      <c r="BE5" s="217"/>
      <c r="BF5" s="217"/>
    </row>
    <row r="6" spans="1:58" s="218" customFormat="1">
      <c r="A6" s="224" t="s">
        <v>157</v>
      </c>
      <c r="B6" s="216"/>
      <c r="C6" s="216"/>
      <c r="D6" s="452" t="s">
        <v>99</v>
      </c>
      <c r="E6" s="452"/>
      <c r="F6" s="452"/>
      <c r="G6" s="452"/>
      <c r="H6" s="452"/>
      <c r="I6" s="228"/>
      <c r="J6" s="228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7"/>
      <c r="AX6" s="217"/>
      <c r="AY6" s="217"/>
      <c r="AZ6" s="217"/>
      <c r="BA6" s="217"/>
      <c r="BB6" s="217"/>
      <c r="BC6" s="217"/>
      <c r="BD6" s="217"/>
      <c r="BE6" s="217"/>
      <c r="BF6" s="217"/>
    </row>
    <row r="7" spans="1:58" s="218" customFormat="1" ht="15.75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29"/>
      <c r="S7" s="453"/>
      <c r="T7" s="453"/>
      <c r="U7" s="453"/>
      <c r="V7" s="453"/>
      <c r="W7" s="453"/>
      <c r="X7" s="230"/>
      <c r="Y7" s="228"/>
      <c r="Z7" s="228"/>
      <c r="AA7" s="228"/>
      <c r="AB7" s="228"/>
      <c r="AC7" s="231"/>
      <c r="AD7" s="453"/>
      <c r="AE7" s="453"/>
      <c r="AF7" s="230"/>
      <c r="AG7" s="216"/>
      <c r="AH7" s="216"/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7"/>
      <c r="AX7" s="217"/>
      <c r="AY7" s="217"/>
      <c r="AZ7" s="217"/>
      <c r="BA7" s="217"/>
      <c r="BB7" s="217"/>
      <c r="BC7" s="217"/>
      <c r="BD7" s="217"/>
      <c r="BE7" s="217"/>
      <c r="BF7" s="217"/>
    </row>
    <row r="8" spans="1:58" s="218" customFormat="1" ht="15.75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29"/>
      <c r="S8" s="230"/>
      <c r="T8" s="230"/>
      <c r="U8" s="230"/>
      <c r="V8" s="230"/>
      <c r="W8" s="230"/>
      <c r="X8" s="230"/>
      <c r="Y8" s="216"/>
      <c r="Z8" s="216"/>
      <c r="AA8" s="216"/>
      <c r="AB8" s="216"/>
      <c r="AC8" s="229"/>
      <c r="AD8" s="230"/>
      <c r="AE8" s="230"/>
      <c r="AF8" s="230"/>
      <c r="AG8" s="216"/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7"/>
      <c r="AX8" s="217"/>
      <c r="AY8" s="217"/>
      <c r="AZ8" s="217"/>
      <c r="BA8" s="217"/>
      <c r="BB8" s="217"/>
      <c r="BC8" s="217"/>
      <c r="BD8" s="217"/>
      <c r="BE8" s="217"/>
      <c r="BF8" s="217"/>
    </row>
    <row r="9" spans="1:58" ht="15.75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3"/>
      <c r="Q9" s="234"/>
      <c r="R9" s="229" t="s">
        <v>158</v>
      </c>
      <c r="S9" s="449" t="str">
        <f>+'G-1'!D5</f>
        <v>CALLE 81 - CARRERA 69</v>
      </c>
      <c r="T9" s="449"/>
      <c r="U9" s="449"/>
      <c r="V9" s="449"/>
      <c r="W9" s="449"/>
      <c r="X9" s="235"/>
      <c r="Y9" s="234"/>
      <c r="Z9" s="234"/>
      <c r="AA9" s="234"/>
      <c r="AB9" s="234"/>
      <c r="AC9" s="229" t="s">
        <v>159</v>
      </c>
      <c r="AD9" s="449">
        <f>+'G-1'!L5</f>
        <v>0</v>
      </c>
      <c r="AE9" s="449"/>
      <c r="AF9" s="235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</row>
    <row r="10" spans="1:58" ht="25.5">
      <c r="A10" s="342" t="s">
        <v>226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341"/>
      <c r="W10" s="239"/>
      <c r="X10" s="239"/>
      <c r="Y10" s="239"/>
      <c r="Z10" s="239"/>
      <c r="AA10" s="239"/>
      <c r="AB10" s="239"/>
      <c r="AC10" s="328" t="str">
        <f>+'G-Totales'!F24</f>
        <v>7:30 - 8:30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</row>
    <row r="11" spans="1:58" ht="25.5">
      <c r="A11" s="238"/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</row>
    <row r="12" spans="1:58" ht="15.75">
      <c r="A12" s="240" t="s">
        <v>160</v>
      </c>
      <c r="B12" s="241"/>
      <c r="C12" s="241"/>
      <c r="D12" s="242"/>
      <c r="E12" s="436">
        <v>110</v>
      </c>
      <c r="F12" s="436"/>
      <c r="G12" s="241"/>
      <c r="H12" s="241"/>
      <c r="I12" s="241"/>
      <c r="J12" s="241"/>
      <c r="K12" s="241"/>
      <c r="L12" s="241"/>
      <c r="M12" s="241"/>
      <c r="N12" s="241"/>
      <c r="O12" s="241"/>
      <c r="P12" s="240" t="s">
        <v>161</v>
      </c>
      <c r="Q12" s="240"/>
      <c r="R12" s="437" t="s">
        <v>223</v>
      </c>
      <c r="S12" s="437"/>
      <c r="T12" s="240"/>
      <c r="U12" s="242"/>
      <c r="V12" s="242"/>
      <c r="W12" s="232"/>
      <c r="X12" s="232"/>
      <c r="Y12" s="232"/>
      <c r="Z12" s="240"/>
      <c r="AA12" s="242"/>
      <c r="AB12" s="242"/>
      <c r="AC12" s="243" t="s">
        <v>162</v>
      </c>
      <c r="AD12" s="242"/>
      <c r="AE12" s="242"/>
      <c r="AF12" s="242"/>
      <c r="AG12" s="436">
        <v>10</v>
      </c>
      <c r="AH12" s="436"/>
      <c r="AI12" s="232"/>
      <c r="AJ12" s="232"/>
      <c r="AK12" s="232"/>
      <c r="AL12" s="232"/>
      <c r="AM12" s="232"/>
      <c r="AN12" s="232"/>
      <c r="AO12" s="240"/>
      <c r="AP12" s="242"/>
      <c r="AQ12" s="232"/>
      <c r="AR12" s="240" t="s">
        <v>163</v>
      </c>
      <c r="AS12" s="242"/>
      <c r="AT12" s="242"/>
      <c r="AU12" s="242"/>
      <c r="AV12" s="244">
        <f>+AX25/AX26</f>
        <v>34.169170001913024</v>
      </c>
      <c r="AW12" s="245"/>
    </row>
    <row r="13" spans="1:58" ht="15.75">
      <c r="A13" s="240" t="s">
        <v>164</v>
      </c>
      <c r="B13" s="241"/>
      <c r="C13" s="241"/>
      <c r="D13" s="242"/>
      <c r="E13" s="438">
        <f>IF(E12=0," ",3600/E12)</f>
        <v>32.727272727272727</v>
      </c>
      <c r="F13" s="438"/>
      <c r="G13" s="241"/>
      <c r="H13" s="241"/>
      <c r="I13" s="241"/>
      <c r="J13" s="241"/>
      <c r="K13" s="241"/>
      <c r="L13" s="241"/>
      <c r="M13" s="241"/>
      <c r="N13" s="241"/>
      <c r="O13" s="241"/>
      <c r="P13" s="240" t="s">
        <v>165</v>
      </c>
      <c r="Q13" s="240"/>
      <c r="R13" s="246"/>
      <c r="S13" s="240"/>
      <c r="T13" s="240"/>
      <c r="U13" s="242"/>
      <c r="V13" s="325">
        <v>0.53</v>
      </c>
      <c r="W13" s="232"/>
      <c r="X13" s="232"/>
      <c r="Y13" s="232"/>
      <c r="Z13" s="240"/>
      <c r="AA13" s="242"/>
      <c r="AB13" s="242"/>
      <c r="AC13" s="247" t="s">
        <v>166</v>
      </c>
      <c r="AD13" s="242"/>
      <c r="AE13" s="242"/>
      <c r="AF13" s="242"/>
      <c r="AG13" s="439">
        <f>IF(E12=0," ",((V13*E12)/(E12-AG12)))</f>
        <v>0.58300000000000007</v>
      </c>
      <c r="AH13" s="439"/>
      <c r="AI13" s="232"/>
      <c r="AJ13" s="232"/>
      <c r="AK13" s="232"/>
      <c r="AL13" s="232"/>
      <c r="AM13" s="232"/>
      <c r="AN13" s="232"/>
      <c r="AO13" s="240"/>
      <c r="AP13" s="242"/>
      <c r="AQ13" s="232"/>
      <c r="AR13" s="240" t="s">
        <v>167</v>
      </c>
      <c r="AS13" s="242"/>
      <c r="AT13" s="242"/>
      <c r="AU13" s="240"/>
      <c r="AV13" s="248" t="str">
        <f>VLOOKUP(AV12,$AZ$17:$BB$22,3)</f>
        <v>D</v>
      </c>
      <c r="AW13" s="249"/>
    </row>
    <row r="14" spans="1:58" ht="15.75" thickBot="1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</row>
    <row r="15" spans="1:58">
      <c r="A15" s="440" t="s">
        <v>168</v>
      </c>
      <c r="B15" s="442" t="s">
        <v>169</v>
      </c>
      <c r="C15" s="444" t="s">
        <v>170</v>
      </c>
      <c r="D15" s="445"/>
      <c r="E15" s="445"/>
      <c r="F15" s="445"/>
      <c r="G15" s="446"/>
      <c r="H15" s="447" t="s">
        <v>171</v>
      </c>
      <c r="I15" s="434" t="s">
        <v>172</v>
      </c>
      <c r="J15" s="434" t="s">
        <v>173</v>
      </c>
      <c r="K15" s="434" t="s">
        <v>174</v>
      </c>
      <c r="L15" s="434" t="s">
        <v>175</v>
      </c>
      <c r="M15" s="434" t="s">
        <v>176</v>
      </c>
      <c r="N15" s="434" t="s">
        <v>177</v>
      </c>
      <c r="O15" s="434" t="s">
        <v>178</v>
      </c>
      <c r="P15" s="434" t="s">
        <v>179</v>
      </c>
      <c r="Q15" s="434" t="s">
        <v>180</v>
      </c>
      <c r="R15" s="434" t="s">
        <v>181</v>
      </c>
      <c r="S15" s="434" t="s">
        <v>182</v>
      </c>
      <c r="T15" s="434" t="s">
        <v>183</v>
      </c>
      <c r="U15" s="434" t="s">
        <v>184</v>
      </c>
      <c r="V15" s="434" t="s">
        <v>185</v>
      </c>
      <c r="W15" s="250" t="s">
        <v>186</v>
      </c>
      <c r="X15" s="251"/>
      <c r="Y15" s="251"/>
      <c r="Z15" s="251"/>
      <c r="AA15" s="251"/>
      <c r="AB15" s="251"/>
      <c r="AC15" s="251"/>
      <c r="AD15" s="252"/>
      <c r="AE15" s="434" t="s">
        <v>187</v>
      </c>
      <c r="AF15" s="434" t="s">
        <v>188</v>
      </c>
      <c r="AG15" s="434" t="s">
        <v>189</v>
      </c>
      <c r="AH15" s="434" t="s">
        <v>190</v>
      </c>
      <c r="AI15" s="434" t="s">
        <v>191</v>
      </c>
      <c r="AJ15" s="434" t="s">
        <v>192</v>
      </c>
      <c r="AK15" s="253" t="s">
        <v>193</v>
      </c>
      <c r="AL15" s="254"/>
      <c r="AM15" s="255"/>
      <c r="AN15" s="434" t="s">
        <v>194</v>
      </c>
      <c r="AO15" s="434" t="s">
        <v>195</v>
      </c>
      <c r="AP15" s="434" t="s">
        <v>196</v>
      </c>
      <c r="AQ15" s="434" t="s">
        <v>197</v>
      </c>
      <c r="AR15" s="434" t="s">
        <v>198</v>
      </c>
      <c r="AS15" s="434" t="s">
        <v>199</v>
      </c>
      <c r="AT15" s="434" t="s">
        <v>200</v>
      </c>
      <c r="AU15" s="434" t="s">
        <v>201</v>
      </c>
      <c r="AV15" s="432" t="s">
        <v>202</v>
      </c>
    </row>
    <row r="16" spans="1:58" ht="45.75" thickBot="1">
      <c r="A16" s="441"/>
      <c r="B16" s="443"/>
      <c r="C16" s="256" t="s">
        <v>203</v>
      </c>
      <c r="D16" s="257" t="s">
        <v>204</v>
      </c>
      <c r="E16" s="257" t="s">
        <v>205</v>
      </c>
      <c r="F16" s="257" t="s">
        <v>206</v>
      </c>
      <c r="G16" s="257" t="s">
        <v>207</v>
      </c>
      <c r="H16" s="448"/>
      <c r="I16" s="435"/>
      <c r="J16" s="435"/>
      <c r="K16" s="435"/>
      <c r="L16" s="435"/>
      <c r="M16" s="435"/>
      <c r="N16" s="435"/>
      <c r="O16" s="435"/>
      <c r="P16" s="435"/>
      <c r="Q16" s="435"/>
      <c r="R16" s="435"/>
      <c r="S16" s="435"/>
      <c r="T16" s="435"/>
      <c r="U16" s="435"/>
      <c r="V16" s="435"/>
      <c r="W16" s="258" t="s">
        <v>208</v>
      </c>
      <c r="X16" s="258" t="s">
        <v>209</v>
      </c>
      <c r="Y16" s="258" t="s">
        <v>210</v>
      </c>
      <c r="Z16" s="258" t="s">
        <v>211</v>
      </c>
      <c r="AA16" s="258" t="s">
        <v>212</v>
      </c>
      <c r="AB16" s="258" t="s">
        <v>213</v>
      </c>
      <c r="AC16" s="258" t="s">
        <v>214</v>
      </c>
      <c r="AD16" s="258" t="s">
        <v>215</v>
      </c>
      <c r="AE16" s="435"/>
      <c r="AF16" s="435"/>
      <c r="AG16" s="435"/>
      <c r="AH16" s="435"/>
      <c r="AI16" s="435"/>
      <c r="AJ16" s="435"/>
      <c r="AK16" s="258" t="s">
        <v>216</v>
      </c>
      <c r="AL16" s="258" t="s">
        <v>217</v>
      </c>
      <c r="AM16" s="258" t="s">
        <v>218</v>
      </c>
      <c r="AN16" s="435"/>
      <c r="AO16" s="435"/>
      <c r="AP16" s="435"/>
      <c r="AQ16" s="435"/>
      <c r="AR16" s="435"/>
      <c r="AS16" s="435"/>
      <c r="AT16" s="435"/>
      <c r="AU16" s="435"/>
      <c r="AV16" s="433"/>
    </row>
    <row r="17" spans="1:62" s="279" customFormat="1" ht="13.5" customHeight="1" thickTop="1">
      <c r="A17" s="329">
        <v>1</v>
      </c>
      <c r="B17" s="182">
        <v>1</v>
      </c>
      <c r="C17" s="206">
        <f>VLOOKUP('G-1'!W7,'G-1'!X10:AC22,2,FALSE)</f>
        <v>17</v>
      </c>
      <c r="D17" s="206">
        <f>VLOOKUP('G-1'!W7,'G-1'!X10:AC22,3,FALSE)</f>
        <v>38</v>
      </c>
      <c r="E17" s="206">
        <f>VLOOKUP('G-1'!W7,'G-1'!X10:AC22,4,FALSE)</f>
        <v>0</v>
      </c>
      <c r="F17" s="206">
        <f>VLOOKUP('G-1'!W7,'G-1'!X10:AC22,5,FALSE)</f>
        <v>4</v>
      </c>
      <c r="G17" s="172">
        <f>C17*0.5+D17+E17*2+F17*2.5</f>
        <v>56.5</v>
      </c>
      <c r="H17" s="213">
        <f>VLOOKUP('G-1'!W7,'G-1'!X10:AC22,6,FALSE)</f>
        <v>19</v>
      </c>
      <c r="I17" s="173">
        <f>G17/(4*H17)</f>
        <v>0.74342105263157898</v>
      </c>
      <c r="J17" s="172">
        <f>G17/I17</f>
        <v>76</v>
      </c>
      <c r="K17" s="174">
        <v>1.1000000000000001</v>
      </c>
      <c r="L17" s="172">
        <f>(J17/B17)*K17</f>
        <v>83.600000000000009</v>
      </c>
      <c r="M17" s="172">
        <f>L17*B17</f>
        <v>83.600000000000009</v>
      </c>
      <c r="N17" s="175">
        <v>1565</v>
      </c>
      <c r="O17" s="174">
        <v>3.5</v>
      </c>
      <c r="P17" s="176">
        <f>(((E17*2)+(F17*2.5))/(G17))</f>
        <v>0.17699115044247787</v>
      </c>
      <c r="Q17" s="177">
        <v>0</v>
      </c>
      <c r="R17" s="171">
        <v>0</v>
      </c>
      <c r="S17" s="178">
        <v>0</v>
      </c>
      <c r="T17" s="178" t="s">
        <v>219</v>
      </c>
      <c r="U17" s="344">
        <f>+DIRECCIONALIDAD!J12</f>
        <v>7.6923076923076925</v>
      </c>
      <c r="V17" s="344">
        <f>+DIRECCIONALIDAD!J10</f>
        <v>5.7692307692307692</v>
      </c>
      <c r="W17" s="179">
        <v>1</v>
      </c>
      <c r="X17" s="179">
        <v>1</v>
      </c>
      <c r="Y17" s="179">
        <v>1</v>
      </c>
      <c r="Z17" s="179">
        <v>1</v>
      </c>
      <c r="AA17" s="179">
        <v>1</v>
      </c>
      <c r="AB17" s="179">
        <v>1</v>
      </c>
      <c r="AC17" s="179">
        <v>1</v>
      </c>
      <c r="AD17" s="179">
        <v>1</v>
      </c>
      <c r="AE17" s="180">
        <f>(+N17*W17*X17*Y17*Z17*AA17*AB17*AC17*AD17)*B17</f>
        <v>1565</v>
      </c>
      <c r="AF17" s="181">
        <f>+M17/AE17</f>
        <v>5.3418530351437704E-2</v>
      </c>
      <c r="AG17" s="181">
        <f>(3600/AE17)*B17</f>
        <v>2.3003194888178915</v>
      </c>
      <c r="AH17" s="182">
        <v>7</v>
      </c>
      <c r="AI17" s="183">
        <f>ROUND(L17/$E$13,0)</f>
        <v>3</v>
      </c>
      <c r="AJ17" s="183">
        <f>ROUND(+AH17/AG17,0)</f>
        <v>3</v>
      </c>
      <c r="AK17" s="183">
        <f>IF(AI17&gt;=AJ17,AI17-AJ17,0)</f>
        <v>0</v>
      </c>
      <c r="AL17" s="183">
        <f>AK17*$E$13</f>
        <v>0</v>
      </c>
      <c r="AM17" s="172">
        <f>+AL17*6</f>
        <v>0</v>
      </c>
      <c r="AN17" s="179">
        <f>+AH17/$E$12</f>
        <v>6.363636363636363E-2</v>
      </c>
      <c r="AO17" s="172">
        <f>+AN17*AE17</f>
        <v>99.590909090909079</v>
      </c>
      <c r="AP17" s="179">
        <f>M17/AO17</f>
        <v>0.83943404837973545</v>
      </c>
      <c r="AQ17" s="179">
        <f>IF(AN17*AP17&gt;=1,0.38*$E$12*(((1-AN17)*(1-AN17))/(1-0.99)),0.38*$E$12*(((1-AN17)*(1-AN17))/(1-AN17*AP17)))</f>
        <v>38.717504940044428</v>
      </c>
      <c r="AR17" s="184">
        <f>VLOOKUP(AN17,$BD$17:$BF$22,3)</f>
        <v>1</v>
      </c>
      <c r="AS17" s="179">
        <v>12</v>
      </c>
      <c r="AT17" s="185">
        <f>173*AP17^2*((AP17-1)+SQRT((AP17-1)^2+AS17*AP17/AO17))</f>
        <v>23.857003036780888</v>
      </c>
      <c r="AU17" s="186">
        <f>++(AQ17*AR17+AT17)</f>
        <v>62.574507976825316</v>
      </c>
      <c r="AV17" s="187" t="str">
        <f>VLOOKUP(AU17,$AZ$17:$BB$22,3)</f>
        <v>F</v>
      </c>
      <c r="AW17" s="273"/>
      <c r="AX17" s="274">
        <f t="shared" ref="AX17:AX24" si="0">+AU17*M17</f>
        <v>5231.228866862597</v>
      </c>
      <c r="AY17" s="274"/>
      <c r="AZ17" s="275">
        <v>0</v>
      </c>
      <c r="BA17" s="275">
        <v>5</v>
      </c>
      <c r="BB17" s="276" t="s">
        <v>0</v>
      </c>
      <c r="BC17" s="236"/>
      <c r="BD17" s="277">
        <v>0</v>
      </c>
      <c r="BE17" s="236">
        <v>0.19</v>
      </c>
      <c r="BF17" s="278">
        <v>1</v>
      </c>
    </row>
    <row r="18" spans="1:62" s="279" customFormat="1" ht="13.5" customHeight="1">
      <c r="A18" s="330">
        <v>2</v>
      </c>
      <c r="B18" s="189">
        <v>1</v>
      </c>
      <c r="C18" s="207">
        <f>VLOOKUP('G-2'!W7,'G-2'!X10:AC22,2,FALSE)</f>
        <v>5</v>
      </c>
      <c r="D18" s="208">
        <f>VLOOKUP('G-2'!W7,'G-2'!X10:AC22,3,FALSE)</f>
        <v>54</v>
      </c>
      <c r="E18" s="208">
        <f>VLOOKUP('G-2'!W7,'G-2'!X10:AC22,4,FALSE)</f>
        <v>0</v>
      </c>
      <c r="F18" s="208">
        <f>VLOOKUP('G-2'!W7,'G-2'!X10:AC22,5,FALSE)</f>
        <v>0</v>
      </c>
      <c r="G18" s="180">
        <f>C18*0.5+D18+E18*2+F18*2.5</f>
        <v>56.5</v>
      </c>
      <c r="H18" s="214">
        <f>VLOOKUP('G-2'!W7,'G-2'!X10:AC22,6,FALSE)</f>
        <v>21.5</v>
      </c>
      <c r="I18" s="190">
        <f>G18/(4*H18)</f>
        <v>0.65697674418604646</v>
      </c>
      <c r="J18" s="180">
        <f>G18/I18</f>
        <v>86</v>
      </c>
      <c r="K18" s="190">
        <v>1.1000000000000001</v>
      </c>
      <c r="L18" s="180">
        <f>(J18/B18)*K18</f>
        <v>94.600000000000009</v>
      </c>
      <c r="M18" s="180">
        <f>L18*B18</f>
        <v>94.600000000000009</v>
      </c>
      <c r="N18" s="191">
        <v>1800</v>
      </c>
      <c r="O18" s="190">
        <v>3.5</v>
      </c>
      <c r="P18" s="192">
        <f>(((E18*2)+(F18*2.5))/(G18))</f>
        <v>0</v>
      </c>
      <c r="Q18" s="193">
        <v>0</v>
      </c>
      <c r="R18" s="188">
        <v>0</v>
      </c>
      <c r="S18" s="194">
        <v>0</v>
      </c>
      <c r="T18" s="194" t="s">
        <v>219</v>
      </c>
      <c r="U18" s="345">
        <f>+DIRECCIONALIDAD!J21</f>
        <v>18.181818181818183</v>
      </c>
      <c r="V18" s="345">
        <f>+DIRECCIONALIDAD!J19</f>
        <v>12.5</v>
      </c>
      <c r="W18" s="181">
        <v>1</v>
      </c>
      <c r="X18" s="181">
        <v>1</v>
      </c>
      <c r="Y18" s="181">
        <v>1</v>
      </c>
      <c r="Z18" s="181">
        <v>1</v>
      </c>
      <c r="AA18" s="181">
        <v>1</v>
      </c>
      <c r="AB18" s="181">
        <v>1</v>
      </c>
      <c r="AC18" s="181">
        <v>1</v>
      </c>
      <c r="AD18" s="181">
        <v>1</v>
      </c>
      <c r="AE18" s="180">
        <f>(+N18*W18*X18*Y18*Z18*AA18*AB18*AC18*AD18)*B18</f>
        <v>1800</v>
      </c>
      <c r="AF18" s="181">
        <f>+M18/AE18</f>
        <v>5.2555555555555564E-2</v>
      </c>
      <c r="AG18" s="181">
        <f>(3600/AE18)*B18</f>
        <v>2</v>
      </c>
      <c r="AH18" s="189">
        <v>15</v>
      </c>
      <c r="AI18" s="195">
        <f>ROUND(L18/$E$13,0)</f>
        <v>3</v>
      </c>
      <c r="AJ18" s="195">
        <f>ROUND(+AH18/AG18,0)</f>
        <v>8</v>
      </c>
      <c r="AK18" s="195">
        <f>IF(AI18&gt;=AJ18,AI18-AJ18,0)</f>
        <v>0</v>
      </c>
      <c r="AL18" s="195">
        <f>AK18*$E$13</f>
        <v>0</v>
      </c>
      <c r="AM18" s="180">
        <f>+AL18*6</f>
        <v>0</v>
      </c>
      <c r="AN18" s="181">
        <f>+AH18/$E$12</f>
        <v>0.13636363636363635</v>
      </c>
      <c r="AO18" s="180">
        <f>+AN18*AE18</f>
        <v>245.45454545454544</v>
      </c>
      <c r="AP18" s="181">
        <f>M18/AO18</f>
        <v>0.38540740740740748</v>
      </c>
      <c r="AQ18" s="181">
        <f>IF(AN18*AP18&gt;=1,0.38*$E$12*(((1-AN18)*(1-AN18))/(1-0.99)),0.38*$E$12*(((1-AN18)*(1-AN18))/(1-AN18*AP18)))</f>
        <v>32.906702773009798</v>
      </c>
      <c r="AR18" s="196">
        <f>VLOOKUP(AN18,$BD$17:$BF$22,3)</f>
        <v>1</v>
      </c>
      <c r="AS18" s="181">
        <v>12</v>
      </c>
      <c r="AT18" s="197">
        <f>173*AP18^2*((AP18-1)+SQRT((AP18-1)^2+AS18*AP18/AO18))</f>
        <v>0.38911834309479987</v>
      </c>
      <c r="AU18" s="198">
        <f>++(AQ18*AR18+AT18)</f>
        <v>33.295821116104598</v>
      </c>
      <c r="AV18" s="199" t="str">
        <f>VLOOKUP(AU18,$AZ$17:$BB$22,3)</f>
        <v>D</v>
      </c>
      <c r="AW18" s="273"/>
      <c r="AX18" s="274">
        <f t="shared" si="0"/>
        <v>3149.7846775834951</v>
      </c>
      <c r="AY18" s="274"/>
      <c r="AZ18" s="275">
        <v>5.0010000000000003</v>
      </c>
      <c r="BA18" s="275">
        <v>15</v>
      </c>
      <c r="BB18" s="276" t="s">
        <v>2</v>
      </c>
      <c r="BC18" s="236"/>
      <c r="BD18" s="277">
        <v>0.2</v>
      </c>
      <c r="BE18" s="236">
        <v>0.28999999999999998</v>
      </c>
      <c r="BF18" s="278">
        <v>0.98599999999999999</v>
      </c>
    </row>
    <row r="19" spans="1:62" s="279" customFormat="1" ht="13.5" customHeight="1">
      <c r="A19" s="330">
        <v>3</v>
      </c>
      <c r="B19" s="189">
        <v>2</v>
      </c>
      <c r="C19" s="207">
        <f>VLOOKUP('G-3'!W7,'G-3'!X10:AC22,2,FALSE)</f>
        <v>5</v>
      </c>
      <c r="D19" s="208">
        <f>VLOOKUP('G-3'!W7,'G-3'!X10:AC22,3,FALSE)</f>
        <v>48</v>
      </c>
      <c r="E19" s="208">
        <f>VLOOKUP('G-3'!W7,'G-3'!X10:AC22,4,FALSE)</f>
        <v>0</v>
      </c>
      <c r="F19" s="208">
        <f>VLOOKUP('G-3'!W7,'G-3'!X10:AC22,5,FALSE)</f>
        <v>1</v>
      </c>
      <c r="G19" s="180">
        <f>C19*0.5+D19+E19*2+F19*2.5</f>
        <v>53</v>
      </c>
      <c r="H19" s="214">
        <f>VLOOKUP('G-3'!W7,'G-3'!X10:AC22,6,FALSE)</f>
        <v>17.5</v>
      </c>
      <c r="I19" s="190">
        <f>G19/(4*H19)</f>
        <v>0.75714285714285712</v>
      </c>
      <c r="J19" s="180">
        <f>G19/I19</f>
        <v>70</v>
      </c>
      <c r="K19" s="190">
        <v>1.1000000000000001</v>
      </c>
      <c r="L19" s="180">
        <f>(J19/B19)*K19</f>
        <v>38.5</v>
      </c>
      <c r="M19" s="180">
        <f>L19*B19</f>
        <v>77</v>
      </c>
      <c r="N19" s="191">
        <v>1600</v>
      </c>
      <c r="O19" s="190">
        <v>3.5</v>
      </c>
      <c r="P19" s="192">
        <f>(((E19*2)+(F19*2.5))/(G19))</f>
        <v>4.716981132075472E-2</v>
      </c>
      <c r="Q19" s="193">
        <v>0</v>
      </c>
      <c r="R19" s="188">
        <v>0</v>
      </c>
      <c r="S19" s="194">
        <v>0</v>
      </c>
      <c r="T19" s="194" t="s">
        <v>219</v>
      </c>
      <c r="U19" s="345">
        <f>+DIRECCIONALIDAD!J30</f>
        <v>47.826086956521742</v>
      </c>
      <c r="V19" s="345">
        <f>+DIRECCIONALIDAD!J28</f>
        <v>8.695652173913043</v>
      </c>
      <c r="W19" s="181">
        <v>1</v>
      </c>
      <c r="X19" s="181">
        <v>1</v>
      </c>
      <c r="Y19" s="181">
        <v>1</v>
      </c>
      <c r="Z19" s="181">
        <v>1</v>
      </c>
      <c r="AA19" s="181">
        <v>1</v>
      </c>
      <c r="AB19" s="181">
        <v>1</v>
      </c>
      <c r="AC19" s="181">
        <v>1</v>
      </c>
      <c r="AD19" s="181">
        <v>1</v>
      </c>
      <c r="AE19" s="180">
        <f>(+N19*W19*X19*Y19*Z19*AA19*AB19*AC19*AD19)*B19</f>
        <v>3200</v>
      </c>
      <c r="AF19" s="181">
        <f>+M19/AE19</f>
        <v>2.4062500000000001E-2</v>
      </c>
      <c r="AG19" s="181">
        <f>(3600/AE19)*B19</f>
        <v>2.25</v>
      </c>
      <c r="AH19" s="189">
        <v>33</v>
      </c>
      <c r="AI19" s="195">
        <f>ROUND(L19/$E$13,0)</f>
        <v>1</v>
      </c>
      <c r="AJ19" s="195">
        <f>ROUND(+AH19/AG19,0)</f>
        <v>15</v>
      </c>
      <c r="AK19" s="195">
        <f>IF(AI19&gt;=AJ19,AI19-AJ19,0)</f>
        <v>0</v>
      </c>
      <c r="AL19" s="195">
        <f>AK19*$E$13</f>
        <v>0</v>
      </c>
      <c r="AM19" s="180">
        <f>+AL19*6</f>
        <v>0</v>
      </c>
      <c r="AN19" s="181">
        <f>+AH19/$E$12</f>
        <v>0.3</v>
      </c>
      <c r="AO19" s="180">
        <f>+AN19*AE19</f>
        <v>960</v>
      </c>
      <c r="AP19" s="181">
        <f>M19/AO19</f>
        <v>8.020833333333334E-2</v>
      </c>
      <c r="AQ19" s="181">
        <f>IF(AN19*AP19&gt;=1,0.38*$E$12*(((1-AN19)*(1-AN19))/(1-0.99)),0.38*$E$12*(((1-AN19)*(1-AN19))/(1-AN19*AP19)))</f>
        <v>20.986999679795062</v>
      </c>
      <c r="AR19" s="196">
        <f>VLOOKUP(AN19,$BD$17:$BF$22,3)</f>
        <v>0.89500000000000002</v>
      </c>
      <c r="AS19" s="181">
        <v>12</v>
      </c>
      <c r="AT19" s="197">
        <f>173*AP19^2*((AP19-1)+SQRT((AP19-1)^2+AS19*AP19/AO19))</f>
        <v>6.064102231031444E-4</v>
      </c>
      <c r="AU19" s="198">
        <f>++(AQ19*AR19+AT19)</f>
        <v>18.783971123639684</v>
      </c>
      <c r="AV19" s="199" t="str">
        <f>VLOOKUP(AU19,$AZ$17:$BB$22,3)</f>
        <v>C</v>
      </c>
      <c r="AW19" s="273"/>
      <c r="AX19" s="274">
        <f t="shared" si="0"/>
        <v>1446.3657765202556</v>
      </c>
      <c r="AY19" s="274"/>
      <c r="AZ19" s="275">
        <v>15.000999999999999</v>
      </c>
      <c r="BA19" s="275">
        <v>25</v>
      </c>
      <c r="BB19" s="276" t="s">
        <v>3</v>
      </c>
      <c r="BC19" s="236"/>
      <c r="BD19" s="277">
        <v>0.3</v>
      </c>
      <c r="BE19" s="236">
        <v>0.39</v>
      </c>
      <c r="BF19" s="278">
        <v>0.89500000000000002</v>
      </c>
    </row>
    <row r="20" spans="1:62" s="279" customFormat="1" ht="13.5" customHeight="1">
      <c r="A20" s="330">
        <v>4</v>
      </c>
      <c r="B20" s="189">
        <v>2</v>
      </c>
      <c r="C20" s="207">
        <f>VLOOKUP('G-4'!W7,'G-4'!X10:AC22,2,FALSE)</f>
        <v>7</v>
      </c>
      <c r="D20" s="208">
        <f>VLOOKUP('G-4'!W7,'G-4'!X10:AC22,3,FALSE)</f>
        <v>38</v>
      </c>
      <c r="E20" s="208">
        <f>VLOOKUP('G-4'!W7,'G-4'!X10:AC22,4,FALSE)</f>
        <v>0</v>
      </c>
      <c r="F20" s="208">
        <f>VLOOKUP('G-4'!W7,'G-4'!X10:AC22,5,FALSE)</f>
        <v>0</v>
      </c>
      <c r="G20" s="180">
        <f>C20*0.5+D20+E20*2+F20*2.5</f>
        <v>41.5</v>
      </c>
      <c r="H20" s="214">
        <f>VLOOKUP('G-4'!W7,'G-4'!X10:AC22,6,FALSE)</f>
        <v>14.5</v>
      </c>
      <c r="I20" s="190">
        <f>G20/(4*H20)</f>
        <v>0.71551724137931039</v>
      </c>
      <c r="J20" s="180">
        <f>G20/I20</f>
        <v>58</v>
      </c>
      <c r="K20" s="190">
        <v>1.1000000000000001</v>
      </c>
      <c r="L20" s="180">
        <f>(J20/B20)*K20</f>
        <v>31.900000000000002</v>
      </c>
      <c r="M20" s="180">
        <f>L20*B20</f>
        <v>63.800000000000004</v>
      </c>
      <c r="N20" s="191">
        <v>1600</v>
      </c>
      <c r="O20" s="190">
        <v>3.5</v>
      </c>
      <c r="P20" s="192">
        <f>(((E20*2)+(F20*2.5))/(G20))</f>
        <v>0</v>
      </c>
      <c r="Q20" s="193">
        <v>0</v>
      </c>
      <c r="R20" s="188">
        <v>0</v>
      </c>
      <c r="S20" s="194">
        <v>0</v>
      </c>
      <c r="T20" s="194" t="s">
        <v>219</v>
      </c>
      <c r="U20" s="345">
        <f>+DIRECCIONALIDAD!J39</f>
        <v>22.222222222222221</v>
      </c>
      <c r="V20" s="345">
        <f>+DIRECCIONALIDAD!J37</f>
        <v>11.111111111111111</v>
      </c>
      <c r="W20" s="181">
        <v>1</v>
      </c>
      <c r="X20" s="181">
        <v>1</v>
      </c>
      <c r="Y20" s="181">
        <v>1</v>
      </c>
      <c r="Z20" s="181">
        <v>1</v>
      </c>
      <c r="AA20" s="181">
        <v>1</v>
      </c>
      <c r="AB20" s="181">
        <v>1</v>
      </c>
      <c r="AC20" s="181">
        <v>1</v>
      </c>
      <c r="AD20" s="181">
        <v>1</v>
      </c>
      <c r="AE20" s="180">
        <f>(+N20*W20*X20*Y20*Z20*AA20*AB20*AC20*AD20)*B20</f>
        <v>3200</v>
      </c>
      <c r="AF20" s="181">
        <f>+M20/AE20</f>
        <v>1.99375E-2</v>
      </c>
      <c r="AG20" s="181">
        <f>(3600/AE20)*B20</f>
        <v>2.25</v>
      </c>
      <c r="AH20" s="189">
        <v>37</v>
      </c>
      <c r="AI20" s="195">
        <f>ROUND(L20/$E$13,0)</f>
        <v>1</v>
      </c>
      <c r="AJ20" s="195">
        <f>ROUND(+AH20/AG20,0)</f>
        <v>16</v>
      </c>
      <c r="AK20" s="195">
        <f>IF(AI20&gt;=AJ20,AI20-AJ20,0)</f>
        <v>0</v>
      </c>
      <c r="AL20" s="195">
        <f>AK20*$E$13</f>
        <v>0</v>
      </c>
      <c r="AM20" s="180">
        <f>+AL20*6</f>
        <v>0</v>
      </c>
      <c r="AN20" s="181">
        <f>+AH20/$E$12</f>
        <v>0.33636363636363636</v>
      </c>
      <c r="AO20" s="180">
        <f>+AN20*AE20</f>
        <v>1076.3636363636363</v>
      </c>
      <c r="AP20" s="181">
        <f>M20/AO20</f>
        <v>5.9273648648648661E-2</v>
      </c>
      <c r="AQ20" s="181">
        <f>IF(AN20*AP20&gt;=1,0.38*$E$12*(((1-AN20)*(1-AN20))/(1-0.99)),0.38*$E$12*(((1-AN20)*(1-AN20))/(1-AN20*AP20)))</f>
        <v>18.783774225901638</v>
      </c>
      <c r="AR20" s="196">
        <f>VLOOKUP(AN20,$BD$17:$BF$22,3)</f>
        <v>0.89500000000000002</v>
      </c>
      <c r="AS20" s="181">
        <v>12</v>
      </c>
      <c r="AT20" s="197">
        <f>173*AP20^2*((AP20-1)+SQRT((AP20-1)^2+AS20*AP20/AO20))</f>
        <v>2.1344154698324348E-4</v>
      </c>
      <c r="AU20" s="198">
        <f>++(AQ20*AR20+AT20)</f>
        <v>16.811691373728948</v>
      </c>
      <c r="AV20" s="199" t="str">
        <f>VLOOKUP(AU20,$AZ$17:$BB$22,3)</f>
        <v>C</v>
      </c>
      <c r="AW20" s="273"/>
      <c r="AX20" s="274">
        <f t="shared" si="0"/>
        <v>1072.5859096439069</v>
      </c>
      <c r="AY20" s="274"/>
      <c r="AZ20" s="275">
        <v>25.001000000000001</v>
      </c>
      <c r="BA20" s="275">
        <v>40</v>
      </c>
      <c r="BB20" s="276" t="s">
        <v>220</v>
      </c>
      <c r="BC20" s="236"/>
      <c r="BD20" s="277">
        <v>0.4</v>
      </c>
      <c r="BE20" s="236">
        <v>0.49</v>
      </c>
      <c r="BF20" s="278">
        <v>0.76700000000000002</v>
      </c>
      <c r="BJ20" s="326"/>
    </row>
    <row r="21" spans="1:62" s="279" customFormat="1" ht="13.5" customHeight="1">
      <c r="A21" s="280"/>
      <c r="B21" s="281"/>
      <c r="C21" s="281"/>
      <c r="D21" s="282"/>
      <c r="E21" s="282"/>
      <c r="F21" s="282"/>
      <c r="G21" s="266"/>
      <c r="H21" s="266"/>
      <c r="I21" s="283"/>
      <c r="J21" s="266"/>
      <c r="K21" s="283"/>
      <c r="L21" s="266"/>
      <c r="M21" s="266"/>
      <c r="N21" s="282"/>
      <c r="O21" s="283"/>
      <c r="P21" s="284"/>
      <c r="Q21" s="285"/>
      <c r="R21" s="281"/>
      <c r="S21" s="286"/>
      <c r="T21" s="286"/>
      <c r="U21" s="285"/>
      <c r="V21" s="285"/>
      <c r="W21" s="267"/>
      <c r="X21" s="267"/>
      <c r="Y21" s="267"/>
      <c r="Z21" s="267"/>
      <c r="AA21" s="267"/>
      <c r="AB21" s="267"/>
      <c r="AC21" s="267"/>
      <c r="AD21" s="267"/>
      <c r="AE21" s="266"/>
      <c r="AF21" s="267"/>
      <c r="AG21" s="267"/>
      <c r="AH21" s="281"/>
      <c r="AI21" s="287"/>
      <c r="AJ21" s="287"/>
      <c r="AK21" s="287"/>
      <c r="AL21" s="287"/>
      <c r="AM21" s="266"/>
      <c r="AN21" s="267"/>
      <c r="AO21" s="266"/>
      <c r="AP21" s="267"/>
      <c r="AQ21" s="267"/>
      <c r="AR21" s="288"/>
      <c r="AS21" s="267"/>
      <c r="AT21" s="289"/>
      <c r="AU21" s="290"/>
      <c r="AV21" s="291"/>
      <c r="AW21" s="273"/>
      <c r="AX21" s="274">
        <f>+AU21*M21</f>
        <v>0</v>
      </c>
      <c r="AY21" s="274"/>
      <c r="AZ21" s="275">
        <v>40.000999999999998</v>
      </c>
      <c r="BA21" s="275">
        <v>60</v>
      </c>
      <c r="BB21" s="276" t="s">
        <v>221</v>
      </c>
      <c r="BC21" s="236"/>
      <c r="BD21" s="277">
        <v>0.5</v>
      </c>
      <c r="BE21" s="236">
        <v>0.59</v>
      </c>
      <c r="BF21" s="278">
        <v>0.57599999999999996</v>
      </c>
    </row>
    <row r="22" spans="1:62" s="279" customFormat="1" ht="13.5" customHeight="1">
      <c r="A22" s="280"/>
      <c r="B22" s="281"/>
      <c r="C22" s="281"/>
      <c r="D22" s="282"/>
      <c r="E22" s="282"/>
      <c r="F22" s="282"/>
      <c r="G22" s="266"/>
      <c r="H22" s="266"/>
      <c r="I22" s="283"/>
      <c r="J22" s="266"/>
      <c r="K22" s="283"/>
      <c r="L22" s="266"/>
      <c r="M22" s="266"/>
      <c r="N22" s="259"/>
      <c r="O22" s="283"/>
      <c r="P22" s="284"/>
      <c r="Q22" s="285"/>
      <c r="R22" s="281"/>
      <c r="S22" s="286"/>
      <c r="T22" s="286"/>
      <c r="U22" s="285"/>
      <c r="V22" s="285"/>
      <c r="W22" s="267"/>
      <c r="X22" s="267"/>
      <c r="Y22" s="267"/>
      <c r="Z22" s="265"/>
      <c r="AA22" s="265"/>
      <c r="AB22" s="267"/>
      <c r="AC22" s="265"/>
      <c r="AD22" s="265"/>
      <c r="AE22" s="266"/>
      <c r="AF22" s="267"/>
      <c r="AG22" s="267"/>
      <c r="AH22" s="281"/>
      <c r="AI22" s="287"/>
      <c r="AJ22" s="287"/>
      <c r="AK22" s="287"/>
      <c r="AL22" s="287"/>
      <c r="AM22" s="266"/>
      <c r="AN22" s="267"/>
      <c r="AO22" s="266"/>
      <c r="AP22" s="267"/>
      <c r="AQ22" s="267"/>
      <c r="AR22" s="288"/>
      <c r="AS22" s="267"/>
      <c r="AT22" s="289"/>
      <c r="AU22" s="290"/>
      <c r="AV22" s="291"/>
      <c r="AW22" s="273"/>
      <c r="AX22" s="274">
        <f t="shared" si="0"/>
        <v>0</v>
      </c>
      <c r="AY22" s="274"/>
      <c r="AZ22" s="275">
        <v>60.000999999999998</v>
      </c>
      <c r="BA22" s="275">
        <v>99999</v>
      </c>
      <c r="BB22" s="276" t="s">
        <v>222</v>
      </c>
      <c r="BC22" s="236"/>
      <c r="BD22" s="277">
        <v>0.6</v>
      </c>
      <c r="BE22" s="236">
        <v>9999999</v>
      </c>
      <c r="BF22" s="278">
        <v>0.25600000000000001</v>
      </c>
    </row>
    <row r="23" spans="1:62" s="279" customFormat="1" ht="13.5" customHeight="1">
      <c r="A23" s="280"/>
      <c r="B23" s="281"/>
      <c r="C23" s="281"/>
      <c r="D23" s="282"/>
      <c r="E23" s="282"/>
      <c r="F23" s="282"/>
      <c r="G23" s="266"/>
      <c r="H23" s="266"/>
      <c r="I23" s="283"/>
      <c r="J23" s="266"/>
      <c r="K23" s="283"/>
      <c r="L23" s="266"/>
      <c r="M23" s="266"/>
      <c r="N23" s="282"/>
      <c r="O23" s="283"/>
      <c r="P23" s="284"/>
      <c r="Q23" s="285"/>
      <c r="R23" s="281"/>
      <c r="S23" s="286"/>
      <c r="T23" s="283"/>
      <c r="U23" s="285"/>
      <c r="V23" s="285"/>
      <c r="W23" s="267"/>
      <c r="X23" s="267"/>
      <c r="Y23" s="267"/>
      <c r="Z23" s="267"/>
      <c r="AA23" s="267"/>
      <c r="AB23" s="267"/>
      <c r="AC23" s="267"/>
      <c r="AD23" s="267"/>
      <c r="AE23" s="266"/>
      <c r="AF23" s="267"/>
      <c r="AG23" s="267"/>
      <c r="AH23" s="281"/>
      <c r="AI23" s="287"/>
      <c r="AJ23" s="287"/>
      <c r="AK23" s="287"/>
      <c r="AL23" s="287"/>
      <c r="AM23" s="266"/>
      <c r="AN23" s="267"/>
      <c r="AO23" s="266"/>
      <c r="AP23" s="267"/>
      <c r="AQ23" s="267"/>
      <c r="AR23" s="288"/>
      <c r="AS23" s="267"/>
      <c r="AT23" s="289"/>
      <c r="AU23" s="290"/>
      <c r="AV23" s="291"/>
      <c r="AW23" s="273"/>
      <c r="AX23" s="274">
        <f t="shared" si="0"/>
        <v>0</v>
      </c>
      <c r="AY23" s="274"/>
      <c r="AZ23" s="274"/>
      <c r="BA23" s="274"/>
      <c r="BB23" s="274"/>
      <c r="BC23" s="274"/>
      <c r="BD23" s="274"/>
      <c r="BE23" s="274"/>
      <c r="BF23" s="274"/>
    </row>
    <row r="24" spans="1:62" s="279" customFormat="1" ht="13.5" customHeight="1" thickBot="1">
      <c r="A24" s="292"/>
      <c r="B24" s="293"/>
      <c r="C24" s="293"/>
      <c r="D24" s="294"/>
      <c r="E24" s="294"/>
      <c r="F24" s="294"/>
      <c r="G24" s="295"/>
      <c r="H24" s="296"/>
      <c r="I24" s="297"/>
      <c r="J24" s="296"/>
      <c r="K24" s="298"/>
      <c r="L24" s="296"/>
      <c r="M24" s="296"/>
      <c r="N24" s="299"/>
      <c r="O24" s="298"/>
      <c r="P24" s="300"/>
      <c r="Q24" s="301"/>
      <c r="R24" s="293"/>
      <c r="S24" s="302"/>
      <c r="T24" s="298"/>
      <c r="U24" s="301"/>
      <c r="V24" s="301"/>
      <c r="W24" s="303"/>
      <c r="X24" s="303"/>
      <c r="Y24" s="303"/>
      <c r="Z24" s="304"/>
      <c r="AA24" s="304"/>
      <c r="AB24" s="303"/>
      <c r="AC24" s="303"/>
      <c r="AD24" s="303"/>
      <c r="AE24" s="296"/>
      <c r="AF24" s="303"/>
      <c r="AG24" s="303"/>
      <c r="AH24" s="293"/>
      <c r="AI24" s="305"/>
      <c r="AJ24" s="305"/>
      <c r="AK24" s="305"/>
      <c r="AL24" s="305"/>
      <c r="AM24" s="296"/>
      <c r="AN24" s="303"/>
      <c r="AO24" s="296"/>
      <c r="AP24" s="303"/>
      <c r="AQ24" s="303"/>
      <c r="AR24" s="306"/>
      <c r="AS24" s="303"/>
      <c r="AT24" s="307"/>
      <c r="AU24" s="308"/>
      <c r="AV24" s="309"/>
      <c r="AW24" s="273"/>
      <c r="AX24" s="274">
        <f t="shared" si="0"/>
        <v>0</v>
      </c>
      <c r="AY24" s="274"/>
      <c r="AZ24" s="274"/>
      <c r="BA24" s="274"/>
      <c r="BB24" s="274"/>
      <c r="BC24" s="274"/>
      <c r="BD24" s="274"/>
      <c r="BE24" s="274"/>
      <c r="BF24" s="274"/>
    </row>
    <row r="25" spans="1:62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X25" s="236">
        <f>SUM(AX17:AX24)</f>
        <v>10899.965230610254</v>
      </c>
      <c r="AY25" s="237"/>
    </row>
    <row r="26" spans="1:62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327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X26" s="310">
        <f>SUM(M17:M24)</f>
        <v>319</v>
      </c>
      <c r="AY26" s="310"/>
    </row>
    <row r="27" spans="1:62" ht="22.5" customHeight="1">
      <c r="A27" s="311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234"/>
      <c r="R27" s="229" t="s">
        <v>158</v>
      </c>
      <c r="S27" s="449" t="str">
        <f>+S9</f>
        <v>CALLE 81 - CARRERA 69</v>
      </c>
      <c r="T27" s="449"/>
      <c r="U27" s="449"/>
      <c r="V27" s="449"/>
      <c r="W27" s="449"/>
      <c r="X27" s="235"/>
      <c r="Y27" s="234"/>
      <c r="Z27" s="234"/>
      <c r="AA27" s="234"/>
      <c r="AB27" s="234"/>
      <c r="AC27" s="229" t="s">
        <v>159</v>
      </c>
      <c r="AD27" s="449">
        <f>+AD9</f>
        <v>0</v>
      </c>
      <c r="AE27" s="449"/>
      <c r="AF27" s="235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2"/>
    </row>
    <row r="28" spans="1:62" ht="21" customHeight="1">
      <c r="A28" s="238" t="s">
        <v>227</v>
      </c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328" t="str">
        <f>+'G-Totales'!M24</f>
        <v>12:15 - 13:15</v>
      </c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39"/>
      <c r="AR28" s="239"/>
      <c r="AS28" s="239"/>
      <c r="AT28" s="239"/>
      <c r="AU28" s="239"/>
      <c r="AV28" s="239"/>
    </row>
    <row r="29" spans="1:62" ht="12.75" customHeight="1">
      <c r="A29" s="238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</row>
    <row r="30" spans="1:62" ht="20.100000000000001" customHeight="1">
      <c r="A30" s="240" t="s">
        <v>160</v>
      </c>
      <c r="B30" s="241"/>
      <c r="C30" s="241"/>
      <c r="D30" s="242"/>
      <c r="E30" s="436">
        <v>105</v>
      </c>
      <c r="F30" s="436"/>
      <c r="G30" s="241"/>
      <c r="H30" s="241"/>
      <c r="I30" s="241"/>
      <c r="J30" s="241"/>
      <c r="K30" s="241"/>
      <c r="L30" s="241"/>
      <c r="M30" s="241"/>
      <c r="N30" s="241"/>
      <c r="O30" s="241"/>
      <c r="P30" s="240" t="s">
        <v>161</v>
      </c>
      <c r="Q30" s="240"/>
      <c r="R30" s="437" t="s">
        <v>223</v>
      </c>
      <c r="S30" s="437"/>
      <c r="T30" s="240"/>
      <c r="U30" s="242"/>
      <c r="V30" s="242"/>
      <c r="W30" s="232"/>
      <c r="X30" s="232"/>
      <c r="Y30" s="232"/>
      <c r="Z30" s="240"/>
      <c r="AA30" s="242"/>
      <c r="AB30" s="242"/>
      <c r="AC30" s="243" t="s">
        <v>162</v>
      </c>
      <c r="AD30" s="242"/>
      <c r="AE30" s="242"/>
      <c r="AF30" s="242"/>
      <c r="AG30" s="436">
        <v>10</v>
      </c>
      <c r="AH30" s="436"/>
      <c r="AI30" s="232"/>
      <c r="AJ30" s="232"/>
      <c r="AK30" s="232"/>
      <c r="AL30" s="232"/>
      <c r="AM30" s="232"/>
      <c r="AN30" s="232"/>
      <c r="AO30" s="240"/>
      <c r="AP30" s="242"/>
      <c r="AQ30" s="232"/>
      <c r="AR30" s="240" t="s">
        <v>163</v>
      </c>
      <c r="AS30" s="242"/>
      <c r="AT30" s="242"/>
      <c r="AU30" s="242"/>
      <c r="AV30" s="244">
        <f>+AX43/AX44</f>
        <v>19.046326309563295</v>
      </c>
      <c r="AW30" s="245"/>
      <c r="AY30" s="313"/>
      <c r="AZ30" s="313"/>
      <c r="BA30" s="313"/>
      <c r="BB30" s="313"/>
    </row>
    <row r="31" spans="1:62" ht="20.100000000000001" customHeight="1">
      <c r="A31" s="240" t="s">
        <v>164</v>
      </c>
      <c r="B31" s="241"/>
      <c r="C31" s="241"/>
      <c r="D31" s="242"/>
      <c r="E31" s="438">
        <f>IF(E30=0," ",3600/E30)</f>
        <v>34.285714285714285</v>
      </c>
      <c r="F31" s="438"/>
      <c r="G31" s="241"/>
      <c r="H31" s="241"/>
      <c r="I31" s="241"/>
      <c r="J31" s="241"/>
      <c r="K31" s="241"/>
      <c r="L31" s="241"/>
      <c r="M31" s="241"/>
      <c r="N31" s="241"/>
      <c r="O31" s="241"/>
      <c r="P31" s="240" t="s">
        <v>165</v>
      </c>
      <c r="Q31" s="240"/>
      <c r="R31" s="246"/>
      <c r="S31" s="240"/>
      <c r="T31" s="240"/>
      <c r="U31" s="242"/>
      <c r="V31" s="325">
        <v>0.62</v>
      </c>
      <c r="W31" s="232"/>
      <c r="X31" s="232"/>
      <c r="Y31" s="232"/>
      <c r="Z31" s="240"/>
      <c r="AA31" s="242"/>
      <c r="AB31" s="242"/>
      <c r="AC31" s="247" t="s">
        <v>166</v>
      </c>
      <c r="AD31" s="242"/>
      <c r="AE31" s="242"/>
      <c r="AF31" s="242"/>
      <c r="AG31" s="439">
        <f>IF(E30=0," ",((V31*E30)/(E30-AG30)))</f>
        <v>0.6852631578947368</v>
      </c>
      <c r="AH31" s="439"/>
      <c r="AI31" s="232"/>
      <c r="AJ31" s="232"/>
      <c r="AK31" s="232"/>
      <c r="AL31" s="232"/>
      <c r="AM31" s="232"/>
      <c r="AN31" s="232"/>
      <c r="AO31" s="240"/>
      <c r="AP31" s="242"/>
      <c r="AQ31" s="232"/>
      <c r="AR31" s="240" t="s">
        <v>167</v>
      </c>
      <c r="AS31" s="242"/>
      <c r="AT31" s="242"/>
      <c r="AU31" s="240"/>
      <c r="AV31" s="248" t="str">
        <f>VLOOKUP(AV30,$AZ$17:$BB$22,3)</f>
        <v>C</v>
      </c>
      <c r="AW31" s="249"/>
      <c r="AY31" s="313"/>
      <c r="AZ31" s="313"/>
      <c r="BA31" s="313"/>
      <c r="BB31" s="313"/>
    </row>
    <row r="32" spans="1:62" ht="12.75" customHeight="1" thickBot="1">
      <c r="A32" s="232"/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</row>
    <row r="33" spans="1:58">
      <c r="A33" s="440" t="s">
        <v>168</v>
      </c>
      <c r="B33" s="442" t="s">
        <v>169</v>
      </c>
      <c r="C33" s="444" t="s">
        <v>170</v>
      </c>
      <c r="D33" s="445"/>
      <c r="E33" s="445"/>
      <c r="F33" s="445"/>
      <c r="G33" s="446"/>
      <c r="H33" s="447" t="s">
        <v>171</v>
      </c>
      <c r="I33" s="434" t="s">
        <v>172</v>
      </c>
      <c r="J33" s="434" t="s">
        <v>173</v>
      </c>
      <c r="K33" s="434" t="s">
        <v>174</v>
      </c>
      <c r="L33" s="434" t="s">
        <v>175</v>
      </c>
      <c r="M33" s="434" t="s">
        <v>176</v>
      </c>
      <c r="N33" s="434" t="s">
        <v>177</v>
      </c>
      <c r="O33" s="434" t="s">
        <v>178</v>
      </c>
      <c r="P33" s="434" t="s">
        <v>179</v>
      </c>
      <c r="Q33" s="434" t="s">
        <v>180</v>
      </c>
      <c r="R33" s="434" t="s">
        <v>181</v>
      </c>
      <c r="S33" s="434" t="s">
        <v>182</v>
      </c>
      <c r="T33" s="434" t="s">
        <v>183</v>
      </c>
      <c r="U33" s="434" t="s">
        <v>184</v>
      </c>
      <c r="V33" s="434" t="s">
        <v>185</v>
      </c>
      <c r="W33" s="250" t="s">
        <v>186</v>
      </c>
      <c r="X33" s="251"/>
      <c r="Y33" s="251"/>
      <c r="Z33" s="251"/>
      <c r="AA33" s="251"/>
      <c r="AB33" s="251"/>
      <c r="AC33" s="251"/>
      <c r="AD33" s="252"/>
      <c r="AE33" s="434" t="s">
        <v>187</v>
      </c>
      <c r="AF33" s="434" t="s">
        <v>188</v>
      </c>
      <c r="AG33" s="434" t="s">
        <v>189</v>
      </c>
      <c r="AH33" s="434" t="s">
        <v>190</v>
      </c>
      <c r="AI33" s="434" t="s">
        <v>191</v>
      </c>
      <c r="AJ33" s="434" t="s">
        <v>192</v>
      </c>
      <c r="AK33" s="253" t="s">
        <v>193</v>
      </c>
      <c r="AL33" s="254"/>
      <c r="AM33" s="255"/>
      <c r="AN33" s="434" t="s">
        <v>194</v>
      </c>
      <c r="AO33" s="434" t="s">
        <v>195</v>
      </c>
      <c r="AP33" s="434" t="s">
        <v>196</v>
      </c>
      <c r="AQ33" s="434" t="s">
        <v>197</v>
      </c>
      <c r="AR33" s="434" t="s">
        <v>198</v>
      </c>
      <c r="AS33" s="434" t="s">
        <v>199</v>
      </c>
      <c r="AT33" s="434" t="s">
        <v>200</v>
      </c>
      <c r="AU33" s="434" t="s">
        <v>201</v>
      </c>
      <c r="AV33" s="432" t="s">
        <v>202</v>
      </c>
    </row>
    <row r="34" spans="1:58" ht="45.75" thickBot="1">
      <c r="A34" s="441"/>
      <c r="B34" s="443"/>
      <c r="C34" s="256" t="s">
        <v>203</v>
      </c>
      <c r="D34" s="257" t="s">
        <v>204</v>
      </c>
      <c r="E34" s="257" t="s">
        <v>205</v>
      </c>
      <c r="F34" s="257" t="s">
        <v>206</v>
      </c>
      <c r="G34" s="257" t="s">
        <v>207</v>
      </c>
      <c r="H34" s="448"/>
      <c r="I34" s="435"/>
      <c r="J34" s="435"/>
      <c r="K34" s="435"/>
      <c r="L34" s="435"/>
      <c r="M34" s="435"/>
      <c r="N34" s="435"/>
      <c r="O34" s="435"/>
      <c r="P34" s="435"/>
      <c r="Q34" s="435"/>
      <c r="R34" s="435"/>
      <c r="S34" s="435"/>
      <c r="T34" s="435"/>
      <c r="U34" s="435"/>
      <c r="V34" s="435"/>
      <c r="W34" s="258" t="s">
        <v>208</v>
      </c>
      <c r="X34" s="258" t="s">
        <v>209</v>
      </c>
      <c r="Y34" s="258" t="s">
        <v>210</v>
      </c>
      <c r="Z34" s="258" t="s">
        <v>211</v>
      </c>
      <c r="AA34" s="258" t="s">
        <v>212</v>
      </c>
      <c r="AB34" s="258" t="s">
        <v>213</v>
      </c>
      <c r="AC34" s="258" t="s">
        <v>214</v>
      </c>
      <c r="AD34" s="258" t="s">
        <v>215</v>
      </c>
      <c r="AE34" s="435"/>
      <c r="AF34" s="435"/>
      <c r="AG34" s="435"/>
      <c r="AH34" s="435"/>
      <c r="AI34" s="435"/>
      <c r="AJ34" s="435"/>
      <c r="AK34" s="258" t="s">
        <v>216</v>
      </c>
      <c r="AL34" s="258" t="s">
        <v>217</v>
      </c>
      <c r="AM34" s="258" t="s">
        <v>218</v>
      </c>
      <c r="AN34" s="435"/>
      <c r="AO34" s="435"/>
      <c r="AP34" s="435"/>
      <c r="AQ34" s="435"/>
      <c r="AR34" s="435"/>
      <c r="AS34" s="435"/>
      <c r="AT34" s="435"/>
      <c r="AU34" s="435"/>
      <c r="AV34" s="433"/>
    </row>
    <row r="35" spans="1:58" ht="15.75" thickTop="1">
      <c r="A35" s="331">
        <v>1</v>
      </c>
      <c r="B35" s="332">
        <v>2</v>
      </c>
      <c r="C35" s="335">
        <f>VLOOKUP('G-1'!AD7,'G-1'!AE10:AJ22,2,FALSE)</f>
        <v>29</v>
      </c>
      <c r="D35" s="336">
        <f>VLOOKUP('G-1'!AD7,'G-1'!AE10:AJ22,3,FALSE)</f>
        <v>44</v>
      </c>
      <c r="E35" s="336">
        <f>VLOOKUP('G-1'!AD7,'G-1'!AE10:AJ22,4,FALSE)</f>
        <v>0</v>
      </c>
      <c r="F35" s="336">
        <f>VLOOKUP('G-1'!AD7,'G-1'!AE10:AJ22,5,FALSE)</f>
        <v>1</v>
      </c>
      <c r="G35" s="260">
        <f>C35*0.5+D35+E35*2+F35*2.5</f>
        <v>61</v>
      </c>
      <c r="H35" s="339">
        <f>VLOOKUP('G-1'!AD7,'G-1'!AE10:AJ22,6,FALSE)</f>
        <v>23.5</v>
      </c>
      <c r="I35" s="261">
        <f>G35/(4*H35)</f>
        <v>0.64893617021276595</v>
      </c>
      <c r="J35" s="314">
        <f>G35/I35</f>
        <v>94</v>
      </c>
      <c r="K35" s="315">
        <v>1.1000000000000001</v>
      </c>
      <c r="L35" s="260">
        <f>(J35/B35)*K35</f>
        <v>51.7</v>
      </c>
      <c r="M35" s="260">
        <f>L35*B35</f>
        <v>103.4</v>
      </c>
      <c r="N35" s="259">
        <v>1714</v>
      </c>
      <c r="O35" s="262">
        <v>3.5</v>
      </c>
      <c r="P35" s="263">
        <f>(((E35*2)+(F35*2.5))/(G35))</f>
        <v>4.0983606557377046E-2</v>
      </c>
      <c r="Q35" s="264">
        <f t="shared" ref="Q35:T38" si="1">Q17</f>
        <v>0</v>
      </c>
      <c r="R35" s="316">
        <f t="shared" si="1"/>
        <v>0</v>
      </c>
      <c r="S35" s="317">
        <f t="shared" si="1"/>
        <v>0</v>
      </c>
      <c r="T35" s="317" t="str">
        <f t="shared" si="1"/>
        <v>O.Z.</v>
      </c>
      <c r="U35" s="210">
        <f>+DIRECCIONALIDAD!J15</f>
        <v>10.606060606060606</v>
      </c>
      <c r="V35" s="210">
        <f>+DIRECCIONALIDAD!J13</f>
        <v>6.0606060606060606</v>
      </c>
      <c r="W35" s="265">
        <v>1</v>
      </c>
      <c r="X35" s="265">
        <v>1</v>
      </c>
      <c r="Y35" s="265">
        <v>1</v>
      </c>
      <c r="Z35" s="265">
        <v>1</v>
      </c>
      <c r="AA35" s="265">
        <v>1</v>
      </c>
      <c r="AB35" s="265">
        <v>1</v>
      </c>
      <c r="AC35" s="265">
        <v>1</v>
      </c>
      <c r="AD35" s="265">
        <v>1</v>
      </c>
      <c r="AE35" s="260">
        <f>(+N35*W35*X35*Y35*Z35*AA35*AB35*AC35*AD35)*B35</f>
        <v>3428</v>
      </c>
      <c r="AF35" s="265">
        <f>+M35/AE35</f>
        <v>3.016336056009335E-2</v>
      </c>
      <c r="AG35" s="267">
        <f>(3600/AE35)*B35</f>
        <v>2.1003500583430572</v>
      </c>
      <c r="AH35" s="332">
        <v>21</v>
      </c>
      <c r="AI35" s="268">
        <f>ROUND(L35/$E$31,0)</f>
        <v>2</v>
      </c>
      <c r="AJ35" s="268">
        <f>ROUND(+AH35/AG35,0)</f>
        <v>10</v>
      </c>
      <c r="AK35" s="268">
        <f>IF(AI35&gt;=AJ35,AI35-AJ35,0)</f>
        <v>0</v>
      </c>
      <c r="AL35" s="268">
        <f>AK35*$E$31</f>
        <v>0</v>
      </c>
      <c r="AM35" s="260">
        <f>+AL35*6</f>
        <v>0</v>
      </c>
      <c r="AN35" s="265">
        <f>+AH35/$E$30</f>
        <v>0.2</v>
      </c>
      <c r="AO35" s="260">
        <f>+AN35*AE35</f>
        <v>685.6</v>
      </c>
      <c r="AP35" s="265">
        <f>M35/AO35</f>
        <v>0.15081680280046675</v>
      </c>
      <c r="AQ35" s="265">
        <f>IF(AN35*AP35&gt;=1,0.38*$E$30*(((1-AN35)*(1-AN35))/(1-0.99)),0.38*$E$30*(((1-AN35)*(1-AN35))/(1-AN35*AP35)))</f>
        <v>26.330207543764665</v>
      </c>
      <c r="AR35" s="269">
        <f>VLOOKUP(AN35,$BD$17:$BF$22,3)</f>
        <v>0.98599999999999999</v>
      </c>
      <c r="AS35" s="265">
        <v>12</v>
      </c>
      <c r="AT35" s="270">
        <f>173*AP35^2*((AP35-1)+SQRT((AP35-1)^2+AS35*AP35/AO35))</f>
        <v>6.110509690288049E-3</v>
      </c>
      <c r="AU35" s="271">
        <f>++(AQ35*AR35+AT35)</f>
        <v>25.967695147842246</v>
      </c>
      <c r="AV35" s="272" t="str">
        <f>VLOOKUP(AU35,$AZ$17:$BB$22,3)</f>
        <v>D</v>
      </c>
      <c r="AW35" s="273"/>
      <c r="AX35" s="274">
        <f t="shared" ref="AX35:AX42" si="2">+AU35*M35</f>
        <v>2685.0596782868884</v>
      </c>
      <c r="AY35" s="274"/>
      <c r="AZ35" s="275">
        <v>0</v>
      </c>
      <c r="BA35" s="275">
        <v>5</v>
      </c>
      <c r="BB35" s="276" t="s">
        <v>0</v>
      </c>
      <c r="BD35" s="277">
        <v>0</v>
      </c>
      <c r="BE35" s="236">
        <v>0.19</v>
      </c>
      <c r="BF35" s="278">
        <v>1</v>
      </c>
    </row>
    <row r="36" spans="1:58">
      <c r="A36" s="333">
        <v>2</v>
      </c>
      <c r="B36" s="334">
        <v>2</v>
      </c>
      <c r="C36" s="337">
        <f>VLOOKUP('G-2'!AD7,'G-2'!AE10:AJ22,2,FALSE)</f>
        <v>17</v>
      </c>
      <c r="D36" s="338">
        <f>VLOOKUP('G-2'!AD7,'G-2'!AE10:AJ22,3,FALSE)</f>
        <v>29</v>
      </c>
      <c r="E36" s="338">
        <f>VLOOKUP('G-2'!AD7,'G-2'!AE10:AJ22,4,FALSE)</f>
        <v>0</v>
      </c>
      <c r="F36" s="338">
        <f>VLOOKUP('G-2'!AD7,'G-2'!AE10:AJ22,5,FALSE)</f>
        <v>1</v>
      </c>
      <c r="G36" s="266">
        <f>C36*0.5+D36+E36*2+F36*2.5</f>
        <v>40</v>
      </c>
      <c r="H36" s="340">
        <f>VLOOKUP('G-2'!AD7,'G-2'!AE10:AJ22,6,FALSE)</f>
        <v>11</v>
      </c>
      <c r="I36" s="283">
        <f>G36/(4*H36)</f>
        <v>0.90909090909090906</v>
      </c>
      <c r="J36" s="266">
        <f>G36/I36</f>
        <v>44</v>
      </c>
      <c r="K36" s="319">
        <v>1.1000000000000001</v>
      </c>
      <c r="L36" s="266">
        <f>(J36/B36)*K36</f>
        <v>24.200000000000003</v>
      </c>
      <c r="M36" s="266">
        <f>L36*B36</f>
        <v>48.400000000000006</v>
      </c>
      <c r="N36" s="282">
        <v>1600</v>
      </c>
      <c r="O36" s="283">
        <v>3.5</v>
      </c>
      <c r="P36" s="284">
        <f>(((E36*2)+(F36*2.5))/(G36))</f>
        <v>6.25E-2</v>
      </c>
      <c r="Q36" s="285">
        <f t="shared" si="1"/>
        <v>0</v>
      </c>
      <c r="R36" s="320">
        <f t="shared" si="1"/>
        <v>0</v>
      </c>
      <c r="S36" s="286">
        <f t="shared" si="1"/>
        <v>0</v>
      </c>
      <c r="T36" s="286" t="str">
        <f t="shared" si="1"/>
        <v>O.Z.</v>
      </c>
      <c r="U36" s="211">
        <f>+DIRECCIONALIDAD!J24</f>
        <v>1.7543859649122806</v>
      </c>
      <c r="V36" s="211">
        <f>+DIRECCIONALIDAD!J22</f>
        <v>10.526315789473683</v>
      </c>
      <c r="W36" s="267">
        <v>1</v>
      </c>
      <c r="X36" s="267">
        <v>1</v>
      </c>
      <c r="Y36" s="267">
        <v>1</v>
      </c>
      <c r="Z36" s="267">
        <v>1</v>
      </c>
      <c r="AA36" s="267">
        <v>1</v>
      </c>
      <c r="AB36" s="267">
        <v>1</v>
      </c>
      <c r="AC36" s="267">
        <v>1</v>
      </c>
      <c r="AD36" s="267">
        <v>1</v>
      </c>
      <c r="AE36" s="266">
        <f>(+N36*W36*X36*Y36*Z36*AA36*AB36*AC36*AD36)*B36</f>
        <v>3200</v>
      </c>
      <c r="AF36" s="267">
        <f>+M36/AE36</f>
        <v>1.5125000000000001E-2</v>
      </c>
      <c r="AG36" s="267">
        <f>(3600/AE36)*B36</f>
        <v>2.25</v>
      </c>
      <c r="AH36" s="334">
        <v>22</v>
      </c>
      <c r="AI36" s="287">
        <f>ROUND(L36/$E$31,0)</f>
        <v>1</v>
      </c>
      <c r="AJ36" s="287">
        <f>ROUND(+AH36/AG36,0)</f>
        <v>10</v>
      </c>
      <c r="AK36" s="287">
        <f>IF(AI36&gt;=AJ36,AI36-AJ36,0)</f>
        <v>0</v>
      </c>
      <c r="AL36" s="287">
        <f>AK36*$E$31</f>
        <v>0</v>
      </c>
      <c r="AM36" s="266">
        <f>+AL36*6</f>
        <v>0</v>
      </c>
      <c r="AN36" s="267">
        <f>+AH36/$E$30</f>
        <v>0.20952380952380953</v>
      </c>
      <c r="AO36" s="266">
        <f>+AN36*AE36</f>
        <v>670.47619047619048</v>
      </c>
      <c r="AP36" s="267">
        <f>M36/AO36</f>
        <v>7.2187500000000002E-2</v>
      </c>
      <c r="AQ36" s="267">
        <f>IF(AN36*AP36&gt;=1,0.38*$E$30*(((1-AN36)*(1-AN36))/(1-0.99)),0.38*$E$30*(((1-AN36)*(1-AN36))/(1-AN36*AP36)))</f>
        <v>25.314500873328132</v>
      </c>
      <c r="AR36" s="288">
        <f>VLOOKUP(AN36,$BD$17:$BF$22,3)</f>
        <v>0.98599999999999999</v>
      </c>
      <c r="AS36" s="267">
        <v>12</v>
      </c>
      <c r="AT36" s="289">
        <f>173*AP36^2*((AP36-1)+SQRT((AP36-1)^2+AS36*AP36/AO36))</f>
        <v>6.2744681193985902E-4</v>
      </c>
      <c r="AU36" s="290">
        <f>++(AQ36*AR36+AT36)</f>
        <v>24.960725307913478</v>
      </c>
      <c r="AV36" s="291" t="str">
        <f>VLOOKUP(AU36,$AZ$17:$BB$22,3)</f>
        <v>C</v>
      </c>
      <c r="AW36" s="273"/>
      <c r="AX36" s="274">
        <f t="shared" si="2"/>
        <v>1208.0991049030124</v>
      </c>
      <c r="AY36" s="274"/>
      <c r="AZ36" s="275">
        <v>5.0010000000000003</v>
      </c>
      <c r="BA36" s="275">
        <v>15</v>
      </c>
      <c r="BB36" s="276" t="s">
        <v>2</v>
      </c>
      <c r="BD36" s="277">
        <v>0.2</v>
      </c>
      <c r="BE36" s="236">
        <v>0.28999999999999998</v>
      </c>
      <c r="BF36" s="278">
        <v>0.98599999999999999</v>
      </c>
    </row>
    <row r="37" spans="1:58">
      <c r="A37" s="333">
        <v>3</v>
      </c>
      <c r="B37" s="334">
        <v>2</v>
      </c>
      <c r="C37" s="337">
        <f>VLOOKUP('G-3'!AD7,'G-3'!AE10:AJ22,2,FALSE)</f>
        <v>12</v>
      </c>
      <c r="D37" s="338">
        <f>VLOOKUP('G-3'!AD7,'G-3'!AE10:AJ22,3,FALSE)</f>
        <v>33</v>
      </c>
      <c r="E37" s="338">
        <f>VLOOKUP('G-3'!AD7,'G-3'!AE10:AJ22,4,FALSE)</f>
        <v>0</v>
      </c>
      <c r="F37" s="338">
        <f>VLOOKUP('G-3'!AD7,'G-3'!AE10:AJ22,5,FALSE)</f>
        <v>0</v>
      </c>
      <c r="G37" s="266">
        <f>C37*0.5+D37+E37*2+F37*2.5</f>
        <v>39</v>
      </c>
      <c r="H37" s="340">
        <f>VLOOKUP('G-3'!AD7,'G-3'!AE10:AJ22,6,FALSE)</f>
        <v>11</v>
      </c>
      <c r="I37" s="283">
        <f>G37/(4*H37)</f>
        <v>0.88636363636363635</v>
      </c>
      <c r="J37" s="266">
        <f>G37/I37</f>
        <v>44</v>
      </c>
      <c r="K37" s="319">
        <v>1.1000000000000001</v>
      </c>
      <c r="L37" s="266">
        <f>(J37/B37)*K37</f>
        <v>24.200000000000003</v>
      </c>
      <c r="M37" s="266">
        <f>L37*B37</f>
        <v>48.400000000000006</v>
      </c>
      <c r="N37" s="282">
        <v>1636</v>
      </c>
      <c r="O37" s="283">
        <v>3.5</v>
      </c>
      <c r="P37" s="284">
        <f>(((E37*2)+(F37*2.5))/(G37))</f>
        <v>0</v>
      </c>
      <c r="Q37" s="285">
        <f t="shared" si="1"/>
        <v>0</v>
      </c>
      <c r="R37" s="320">
        <f t="shared" si="1"/>
        <v>0</v>
      </c>
      <c r="S37" s="286">
        <f t="shared" si="1"/>
        <v>0</v>
      </c>
      <c r="T37" s="286" t="str">
        <f t="shared" si="1"/>
        <v>O.Z.</v>
      </c>
      <c r="U37" s="211">
        <f>+DIRECCIONALIDAD!J33</f>
        <v>25</v>
      </c>
      <c r="V37" s="211">
        <f>+DIRECCIONALIDAD!J31</f>
        <v>11.111111111111111</v>
      </c>
      <c r="W37" s="267">
        <v>1</v>
      </c>
      <c r="X37" s="267">
        <v>1</v>
      </c>
      <c r="Y37" s="267">
        <v>1</v>
      </c>
      <c r="Z37" s="267">
        <v>1</v>
      </c>
      <c r="AA37" s="267">
        <v>1</v>
      </c>
      <c r="AB37" s="267">
        <v>1</v>
      </c>
      <c r="AC37" s="267">
        <v>1</v>
      </c>
      <c r="AD37" s="267">
        <v>1</v>
      </c>
      <c r="AE37" s="266">
        <f>(+N37*W37*X37*Y37*Z37*AA37*AB37*AC37*AD37)*B37</f>
        <v>3272</v>
      </c>
      <c r="AF37" s="267">
        <f>+M37/AE37</f>
        <v>1.4792176039119807E-2</v>
      </c>
      <c r="AG37" s="267">
        <f>(3600/AE37)*B37</f>
        <v>2.2004889975550124</v>
      </c>
      <c r="AH37" s="334">
        <v>43</v>
      </c>
      <c r="AI37" s="287">
        <f>ROUND(L37/$E$31,0)</f>
        <v>1</v>
      </c>
      <c r="AJ37" s="287">
        <f>ROUND(+AH37/AG37,0)</f>
        <v>20</v>
      </c>
      <c r="AK37" s="287">
        <f>IF(AI37&gt;=AJ37,AI37-AJ37,0)</f>
        <v>0</v>
      </c>
      <c r="AL37" s="287">
        <f>AK37*$E$31</f>
        <v>0</v>
      </c>
      <c r="AM37" s="266">
        <f>+AL37*6</f>
        <v>0</v>
      </c>
      <c r="AN37" s="267">
        <f>+AH37/$E$30</f>
        <v>0.40952380952380951</v>
      </c>
      <c r="AO37" s="266">
        <f>+AN37*AE37</f>
        <v>1339.9619047619046</v>
      </c>
      <c r="AP37" s="267">
        <f>M37/AO37</f>
        <v>3.6120429862966971E-2</v>
      </c>
      <c r="AQ37" s="267">
        <f>IF(AN37*AP37&gt;=1,0.38*$E$30*(((1-AN37)*(1-AN37))/(1-0.99)),0.38*$E$30*(((1-AN37)*(1-AN37))/(1-AN37*AP37)))</f>
        <v>14.120491848805534</v>
      </c>
      <c r="AR37" s="288">
        <f>VLOOKUP(AN37,$BD$17:$BF$22,3)</f>
        <v>0.76700000000000002</v>
      </c>
      <c r="AS37" s="267">
        <v>12</v>
      </c>
      <c r="AT37" s="289">
        <f>173*AP37^2*((AP37-1)+SQRT((AP37-1)^2+AS37*AP37/AO37))</f>
        <v>3.7870676183508493E-5</v>
      </c>
      <c r="AU37" s="290">
        <f>++(AQ37*AR37+AT37)</f>
        <v>10.830455118710029</v>
      </c>
      <c r="AV37" s="291" t="str">
        <f>VLOOKUP(AU37,$AZ$17:$BB$22,3)</f>
        <v>B</v>
      </c>
      <c r="AW37" s="273"/>
      <c r="AX37" s="274">
        <f t="shared" si="2"/>
        <v>524.19402774556545</v>
      </c>
      <c r="AY37" s="274"/>
      <c r="AZ37" s="275">
        <v>15.000999999999999</v>
      </c>
      <c r="BA37" s="275">
        <v>25</v>
      </c>
      <c r="BB37" s="276" t="s">
        <v>3</v>
      </c>
      <c r="BD37" s="277">
        <v>0.3</v>
      </c>
      <c r="BE37" s="236">
        <v>0.39</v>
      </c>
      <c r="BF37" s="278">
        <v>0.89500000000000002</v>
      </c>
    </row>
    <row r="38" spans="1:58">
      <c r="A38" s="333">
        <v>4</v>
      </c>
      <c r="B38" s="334">
        <v>2</v>
      </c>
      <c r="C38" s="337">
        <f>VLOOKUP('G-4'!AD7,'G-4'!AE10:AJ22,2,FALSE)</f>
        <v>13</v>
      </c>
      <c r="D38" s="338">
        <f>VLOOKUP('G-4'!AD7,'G-4'!AE10:AJ22,3,FALSE)</f>
        <v>42</v>
      </c>
      <c r="E38" s="338">
        <f>VLOOKUP('G-4'!AD7,'G-4'!AE10:AJ22,4,FALSE)</f>
        <v>0</v>
      </c>
      <c r="F38" s="338">
        <f>VLOOKUP('G-4'!AD7,'G-4'!AE10:AJ22,5,FALSE)</f>
        <v>1</v>
      </c>
      <c r="G38" s="266">
        <f>C38*0.5+D38+E38*2+F38*2.5</f>
        <v>51</v>
      </c>
      <c r="H38" s="340">
        <f>VLOOKUP('G-4'!AD7,'G-4'!AE10:AJ22,6,FALSE)</f>
        <v>15.5</v>
      </c>
      <c r="I38" s="283">
        <f>G38/(4*H38)</f>
        <v>0.82258064516129037</v>
      </c>
      <c r="J38" s="266">
        <f>G38/I38</f>
        <v>62</v>
      </c>
      <c r="K38" s="319">
        <v>1.1000000000000001</v>
      </c>
      <c r="L38" s="266">
        <f>(J38/B38)*K38</f>
        <v>34.1</v>
      </c>
      <c r="M38" s="266">
        <f>L38*B38</f>
        <v>68.2</v>
      </c>
      <c r="N38" s="282">
        <v>1800</v>
      </c>
      <c r="O38" s="283">
        <v>3.5</v>
      </c>
      <c r="P38" s="284">
        <f>(((E38*2)+(F38*2.5))/(G38))</f>
        <v>4.9019607843137254E-2</v>
      </c>
      <c r="Q38" s="285">
        <f t="shared" si="1"/>
        <v>0</v>
      </c>
      <c r="R38" s="320">
        <f t="shared" si="1"/>
        <v>0</v>
      </c>
      <c r="S38" s="286">
        <f t="shared" si="1"/>
        <v>0</v>
      </c>
      <c r="T38" s="286" t="str">
        <f t="shared" si="1"/>
        <v>O.Z.</v>
      </c>
      <c r="U38" s="211">
        <f>+DIRECCIONALIDAD!J42</f>
        <v>12.903225806451612</v>
      </c>
      <c r="V38" s="211">
        <f>+DIRECCIONALIDAD!J40</f>
        <v>3.225806451612903</v>
      </c>
      <c r="W38" s="267">
        <v>1</v>
      </c>
      <c r="X38" s="267">
        <v>1</v>
      </c>
      <c r="Y38" s="267">
        <v>1</v>
      </c>
      <c r="Z38" s="267">
        <v>1</v>
      </c>
      <c r="AA38" s="267">
        <v>1</v>
      </c>
      <c r="AB38" s="267">
        <v>1</v>
      </c>
      <c r="AC38" s="267">
        <v>1</v>
      </c>
      <c r="AD38" s="267">
        <v>1</v>
      </c>
      <c r="AE38" s="266">
        <f>(+N38*W38*X38*Y38*Z38*AA38*AB38*AC38*AD38)*B38</f>
        <v>3600</v>
      </c>
      <c r="AF38" s="267">
        <f>+M38/AE38</f>
        <v>1.8944444444444444E-2</v>
      </c>
      <c r="AG38" s="267">
        <f>(3600/AE38)*B38</f>
        <v>2</v>
      </c>
      <c r="AH38" s="334">
        <v>45</v>
      </c>
      <c r="AI38" s="287">
        <f>ROUND(L38/$E$31,0)</f>
        <v>1</v>
      </c>
      <c r="AJ38" s="287">
        <f>ROUND(+AH38/AG38,0)</f>
        <v>23</v>
      </c>
      <c r="AK38" s="287">
        <f>IF(AI38&gt;=AJ38,AI38-AJ38,0)</f>
        <v>0</v>
      </c>
      <c r="AL38" s="287">
        <f>AK38*$E$31</f>
        <v>0</v>
      </c>
      <c r="AM38" s="266">
        <f>+AL38*6</f>
        <v>0</v>
      </c>
      <c r="AN38" s="267">
        <f>+AH38/$E$30</f>
        <v>0.42857142857142855</v>
      </c>
      <c r="AO38" s="266">
        <f>+AN38*AE38</f>
        <v>1542.8571428571427</v>
      </c>
      <c r="AP38" s="267">
        <f>M38/AO38</f>
        <v>4.420370370370371E-2</v>
      </c>
      <c r="AQ38" s="267">
        <f>IF(AN38*AP38&gt;=1,0.38*$E$30*(((1-AN38)*(1-AN38))/(1-0.99)),0.38*$E$30*(((1-AN38)*(1-AN38))/(1-AN38*AP38)))</f>
        <v>13.280156617831455</v>
      </c>
      <c r="AR38" s="288">
        <f>VLOOKUP(AN38,$BD$17:$BF$22,3)</f>
        <v>0.76700000000000002</v>
      </c>
      <c r="AS38" s="267">
        <v>12</v>
      </c>
      <c r="AT38" s="289">
        <f>173*AP38^2*((AP38-1)+SQRT((AP38-1)^2+AS38*AP38/AO38))</f>
        <v>6.079129810359014E-5</v>
      </c>
      <c r="AU38" s="290">
        <f>++(AQ38*AR38+AT38)</f>
        <v>10.185940917174831</v>
      </c>
      <c r="AV38" s="291" t="str">
        <f>VLOOKUP(AU38,$AZ$17:$BB$22,3)</f>
        <v>B</v>
      </c>
      <c r="AW38" s="273"/>
      <c r="AX38" s="274">
        <f t="shared" si="2"/>
        <v>694.68117055132348</v>
      </c>
      <c r="AY38" s="274"/>
      <c r="AZ38" s="275">
        <v>25.001000000000001</v>
      </c>
      <c r="BA38" s="275">
        <v>40</v>
      </c>
      <c r="BB38" s="276" t="s">
        <v>220</v>
      </c>
      <c r="BD38" s="277">
        <v>0.4</v>
      </c>
      <c r="BE38" s="236">
        <v>0.49</v>
      </c>
      <c r="BF38" s="278">
        <v>0.76700000000000002</v>
      </c>
    </row>
    <row r="39" spans="1:58">
      <c r="A39" s="280"/>
      <c r="B39" s="281"/>
      <c r="C39" s="318"/>
      <c r="D39" s="282"/>
      <c r="E39" s="282"/>
      <c r="F39" s="282"/>
      <c r="G39" s="266"/>
      <c r="H39" s="266"/>
      <c r="I39" s="283"/>
      <c r="J39" s="266"/>
      <c r="K39" s="319"/>
      <c r="L39" s="266"/>
      <c r="M39" s="266"/>
      <c r="N39" s="282"/>
      <c r="O39" s="283"/>
      <c r="P39" s="284"/>
      <c r="Q39" s="285"/>
      <c r="R39" s="320"/>
      <c r="S39" s="286"/>
      <c r="T39" s="286"/>
      <c r="U39" s="285"/>
      <c r="V39" s="285"/>
      <c r="W39" s="267"/>
      <c r="X39" s="267"/>
      <c r="Y39" s="267"/>
      <c r="Z39" s="267"/>
      <c r="AA39" s="267"/>
      <c r="AB39" s="267"/>
      <c r="AC39" s="267"/>
      <c r="AD39" s="267"/>
      <c r="AE39" s="266"/>
      <c r="AF39" s="267"/>
      <c r="AG39" s="267"/>
      <c r="AH39" s="281"/>
      <c r="AI39" s="287"/>
      <c r="AJ39" s="287"/>
      <c r="AK39" s="287"/>
      <c r="AL39" s="287"/>
      <c r="AM39" s="266"/>
      <c r="AN39" s="267"/>
      <c r="AO39" s="266"/>
      <c r="AP39" s="267"/>
      <c r="AQ39" s="267"/>
      <c r="AR39" s="288"/>
      <c r="AS39" s="267"/>
      <c r="AT39" s="289"/>
      <c r="AU39" s="290"/>
      <c r="AV39" s="291"/>
      <c r="AW39" s="273"/>
      <c r="AX39" s="274">
        <f>+AU39*M39</f>
        <v>0</v>
      </c>
      <c r="AY39" s="274"/>
      <c r="AZ39" s="275">
        <v>40.000999999999998</v>
      </c>
      <c r="BA39" s="275">
        <v>60</v>
      </c>
      <c r="BB39" s="276" t="s">
        <v>221</v>
      </c>
      <c r="BD39" s="277">
        <v>0.5</v>
      </c>
      <c r="BE39" s="236">
        <v>0.59</v>
      </c>
      <c r="BF39" s="278">
        <v>0.57599999999999996</v>
      </c>
    </row>
    <row r="40" spans="1:58">
      <c r="A40" s="321"/>
      <c r="B40" s="318"/>
      <c r="C40" s="318"/>
      <c r="D40" s="282"/>
      <c r="E40" s="282"/>
      <c r="F40" s="282"/>
      <c r="G40" s="266"/>
      <c r="H40" s="266"/>
      <c r="I40" s="283"/>
      <c r="J40" s="266"/>
      <c r="K40" s="319"/>
      <c r="L40" s="266"/>
      <c r="M40" s="266"/>
      <c r="N40" s="282"/>
      <c r="O40" s="319"/>
      <c r="P40" s="284"/>
      <c r="Q40" s="285"/>
      <c r="R40" s="320"/>
      <c r="S40" s="286"/>
      <c r="T40" s="286"/>
      <c r="U40" s="285"/>
      <c r="V40" s="285"/>
      <c r="W40" s="267"/>
      <c r="X40" s="267"/>
      <c r="Y40" s="267"/>
      <c r="Z40" s="267"/>
      <c r="AA40" s="267"/>
      <c r="AB40" s="267"/>
      <c r="AC40" s="267"/>
      <c r="AD40" s="267"/>
      <c r="AE40" s="266"/>
      <c r="AF40" s="267"/>
      <c r="AG40" s="267"/>
      <c r="AH40" s="281"/>
      <c r="AI40" s="287"/>
      <c r="AJ40" s="287"/>
      <c r="AK40" s="287"/>
      <c r="AL40" s="287"/>
      <c r="AM40" s="266"/>
      <c r="AN40" s="267"/>
      <c r="AO40" s="266"/>
      <c r="AP40" s="267"/>
      <c r="AQ40" s="267"/>
      <c r="AR40" s="288"/>
      <c r="AS40" s="267"/>
      <c r="AT40" s="289"/>
      <c r="AU40" s="290"/>
      <c r="AV40" s="291"/>
      <c r="AW40" s="273"/>
      <c r="AX40" s="274">
        <f t="shared" si="2"/>
        <v>0</v>
      </c>
      <c r="AY40" s="274"/>
      <c r="AZ40" s="275">
        <v>60.000999999999998</v>
      </c>
      <c r="BA40" s="275">
        <v>99999</v>
      </c>
      <c r="BB40" s="276" t="s">
        <v>222</v>
      </c>
      <c r="BD40" s="277">
        <v>0.6</v>
      </c>
      <c r="BE40" s="236">
        <v>9999999</v>
      </c>
      <c r="BF40" s="278">
        <v>0.25600000000000001</v>
      </c>
    </row>
    <row r="41" spans="1:58">
      <c r="A41" s="321"/>
      <c r="B41" s="318"/>
      <c r="C41" s="318"/>
      <c r="D41" s="282"/>
      <c r="E41" s="282"/>
      <c r="F41" s="282"/>
      <c r="G41" s="266"/>
      <c r="H41" s="266"/>
      <c r="I41" s="283"/>
      <c r="J41" s="266"/>
      <c r="K41" s="318"/>
      <c r="L41" s="266"/>
      <c r="M41" s="266"/>
      <c r="N41" s="282"/>
      <c r="O41" s="319"/>
      <c r="P41" s="284"/>
      <c r="Q41" s="285"/>
      <c r="R41" s="281"/>
      <c r="S41" s="286"/>
      <c r="T41" s="283"/>
      <c r="U41" s="285"/>
      <c r="V41" s="285"/>
      <c r="W41" s="267"/>
      <c r="X41" s="267"/>
      <c r="Y41" s="267"/>
      <c r="Z41" s="267"/>
      <c r="AA41" s="267"/>
      <c r="AB41" s="267"/>
      <c r="AC41" s="267"/>
      <c r="AD41" s="267"/>
      <c r="AE41" s="266"/>
      <c r="AF41" s="267"/>
      <c r="AG41" s="267"/>
      <c r="AH41" s="281"/>
      <c r="AI41" s="287"/>
      <c r="AJ41" s="287"/>
      <c r="AK41" s="287"/>
      <c r="AL41" s="287"/>
      <c r="AM41" s="266"/>
      <c r="AN41" s="267"/>
      <c r="AO41" s="266"/>
      <c r="AP41" s="267"/>
      <c r="AQ41" s="267"/>
      <c r="AR41" s="288"/>
      <c r="AS41" s="267"/>
      <c r="AT41" s="289"/>
      <c r="AU41" s="290"/>
      <c r="AV41" s="291"/>
      <c r="AW41" s="273"/>
      <c r="AX41" s="274">
        <f t="shared" si="2"/>
        <v>0</v>
      </c>
      <c r="AY41" s="274"/>
      <c r="AZ41" s="274"/>
      <c r="BA41" s="274"/>
      <c r="BB41" s="274"/>
      <c r="BC41" s="274"/>
      <c r="BD41" s="274"/>
      <c r="BE41" s="274"/>
      <c r="BF41" s="274"/>
    </row>
    <row r="42" spans="1:58" ht="15.75" thickBot="1">
      <c r="A42" s="322"/>
      <c r="B42" s="323"/>
      <c r="C42" s="323"/>
      <c r="D42" s="294"/>
      <c r="E42" s="294"/>
      <c r="F42" s="294"/>
      <c r="G42" s="295"/>
      <c r="H42" s="296"/>
      <c r="I42" s="297"/>
      <c r="J42" s="296"/>
      <c r="K42" s="323"/>
      <c r="L42" s="296"/>
      <c r="M42" s="296"/>
      <c r="N42" s="299"/>
      <c r="O42" s="324"/>
      <c r="P42" s="300"/>
      <c r="Q42" s="301"/>
      <c r="R42" s="293"/>
      <c r="S42" s="302"/>
      <c r="T42" s="298"/>
      <c r="U42" s="301"/>
      <c r="V42" s="301"/>
      <c r="W42" s="303"/>
      <c r="X42" s="303"/>
      <c r="Y42" s="303"/>
      <c r="Z42" s="304"/>
      <c r="AA42" s="304"/>
      <c r="AB42" s="303"/>
      <c r="AC42" s="303"/>
      <c r="AD42" s="303"/>
      <c r="AE42" s="296"/>
      <c r="AF42" s="303"/>
      <c r="AG42" s="303"/>
      <c r="AH42" s="293"/>
      <c r="AI42" s="305"/>
      <c r="AJ42" s="305"/>
      <c r="AK42" s="305"/>
      <c r="AL42" s="305"/>
      <c r="AM42" s="296"/>
      <c r="AN42" s="303"/>
      <c r="AO42" s="296"/>
      <c r="AP42" s="303"/>
      <c r="AQ42" s="303"/>
      <c r="AR42" s="306"/>
      <c r="AS42" s="303"/>
      <c r="AT42" s="307"/>
      <c r="AU42" s="308"/>
      <c r="AV42" s="309"/>
      <c r="AW42" s="273"/>
      <c r="AX42" s="274">
        <f t="shared" si="2"/>
        <v>0</v>
      </c>
      <c r="AY42" s="274"/>
      <c r="AZ42" s="274"/>
      <c r="BA42" s="274"/>
      <c r="BB42" s="274"/>
      <c r="BC42" s="274"/>
      <c r="BD42" s="274"/>
      <c r="BE42" s="274"/>
      <c r="BF42" s="274"/>
    </row>
    <row r="43" spans="1:58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X43" s="236">
        <f>SUM(AX35:AX42)</f>
        <v>5112.0339814867893</v>
      </c>
      <c r="AY43" s="237"/>
    </row>
    <row r="44" spans="1:58" ht="25.5"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/>
      <c r="AK44" s="239"/>
      <c r="AX44" s="310">
        <f>SUM(M35:M42)</f>
        <v>268.40000000000003</v>
      </c>
      <c r="AY44" s="310"/>
    </row>
    <row r="46" spans="1:58" ht="15.75">
      <c r="A46" s="311"/>
      <c r="B46" s="311"/>
      <c r="C46" s="311"/>
      <c r="D46" s="311"/>
      <c r="E46" s="311"/>
      <c r="F46" s="311"/>
      <c r="G46" s="311"/>
      <c r="H46" s="311"/>
      <c r="I46" s="311"/>
      <c r="J46" s="311"/>
      <c r="K46" s="311"/>
      <c r="L46" s="311"/>
      <c r="M46" s="311"/>
      <c r="N46" s="311"/>
      <c r="O46" s="311"/>
      <c r="P46" s="311"/>
      <c r="Q46" s="234"/>
      <c r="R46" s="229" t="s">
        <v>158</v>
      </c>
      <c r="S46" s="449" t="str">
        <f>+S9</f>
        <v>CALLE 81 - CARRERA 69</v>
      </c>
      <c r="T46" s="449"/>
      <c r="U46" s="449"/>
      <c r="V46" s="449"/>
      <c r="W46" s="449"/>
      <c r="X46" s="235"/>
      <c r="Y46" s="234"/>
      <c r="Z46" s="234"/>
      <c r="AA46" s="234"/>
      <c r="AB46" s="234"/>
      <c r="AC46" s="229" t="s">
        <v>159</v>
      </c>
      <c r="AD46" s="449">
        <f>+AD9</f>
        <v>0</v>
      </c>
      <c r="AE46" s="449"/>
      <c r="AF46" s="235"/>
      <c r="AG46" s="311"/>
      <c r="AH46" s="311"/>
      <c r="AI46" s="311"/>
      <c r="AJ46" s="311"/>
      <c r="AK46" s="311"/>
      <c r="AL46" s="311"/>
      <c r="AM46" s="311"/>
      <c r="AN46" s="311"/>
      <c r="AO46" s="311"/>
      <c r="AP46" s="311"/>
      <c r="AQ46" s="311"/>
      <c r="AR46" s="311"/>
      <c r="AS46" s="311"/>
      <c r="AT46" s="311"/>
      <c r="AU46" s="311"/>
      <c r="AV46" s="312"/>
    </row>
    <row r="47" spans="1:58" ht="25.5">
      <c r="A47" s="238" t="s">
        <v>227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343" t="str">
        <f>+'G-Totales'!T24</f>
        <v>16:00 - 17:00</v>
      </c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</row>
    <row r="48" spans="1:58" ht="25.5">
      <c r="A48" s="238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</row>
    <row r="49" spans="1:58" ht="15.75">
      <c r="A49" s="240" t="s">
        <v>160</v>
      </c>
      <c r="B49" s="241"/>
      <c r="C49" s="241"/>
      <c r="D49" s="242"/>
      <c r="E49" s="436">
        <v>105</v>
      </c>
      <c r="F49" s="436"/>
      <c r="G49" s="241"/>
      <c r="H49" s="241"/>
      <c r="I49" s="241"/>
      <c r="J49" s="241"/>
      <c r="K49" s="241"/>
      <c r="L49" s="241"/>
      <c r="M49" s="241"/>
      <c r="N49" s="241"/>
      <c r="O49" s="241"/>
      <c r="P49" s="240" t="s">
        <v>161</v>
      </c>
      <c r="Q49" s="240"/>
      <c r="R49" s="437" t="s">
        <v>223</v>
      </c>
      <c r="S49" s="437"/>
      <c r="T49" s="240"/>
      <c r="U49" s="242"/>
      <c r="V49" s="242"/>
      <c r="W49" s="232"/>
      <c r="X49" s="232"/>
      <c r="Y49" s="232"/>
      <c r="Z49" s="240"/>
      <c r="AA49" s="242"/>
      <c r="AB49" s="242"/>
      <c r="AC49" s="243" t="s">
        <v>162</v>
      </c>
      <c r="AD49" s="242"/>
      <c r="AE49" s="242"/>
      <c r="AF49" s="242"/>
      <c r="AG49" s="436">
        <v>10</v>
      </c>
      <c r="AH49" s="436"/>
      <c r="AI49" s="232"/>
      <c r="AJ49" s="232"/>
      <c r="AK49" s="232"/>
      <c r="AL49" s="232"/>
      <c r="AM49" s="232"/>
      <c r="AN49" s="232"/>
      <c r="AO49" s="240"/>
      <c r="AP49" s="242"/>
      <c r="AQ49" s="232"/>
      <c r="AR49" s="240" t="s">
        <v>163</v>
      </c>
      <c r="AS49" s="242"/>
      <c r="AT49" s="242"/>
      <c r="AU49" s="242"/>
      <c r="AV49" s="244">
        <f>+AX62/AX63</f>
        <v>20.598963025836898</v>
      </c>
      <c r="AW49" s="245"/>
      <c r="AY49" s="313"/>
    </row>
    <row r="50" spans="1:58" ht="15.75">
      <c r="A50" s="240" t="s">
        <v>164</v>
      </c>
      <c r="B50" s="241"/>
      <c r="C50" s="241"/>
      <c r="D50" s="242"/>
      <c r="E50" s="438">
        <f>IF(E49=0," ",3600/E49)</f>
        <v>34.285714285714285</v>
      </c>
      <c r="F50" s="438"/>
      <c r="G50" s="241"/>
      <c r="H50" s="241"/>
      <c r="I50" s="241"/>
      <c r="J50" s="241"/>
      <c r="K50" s="241"/>
      <c r="L50" s="241"/>
      <c r="M50" s="241"/>
      <c r="N50" s="241"/>
      <c r="O50" s="241"/>
      <c r="P50" s="240" t="s">
        <v>165</v>
      </c>
      <c r="Q50" s="240"/>
      <c r="R50" s="246"/>
      <c r="S50" s="240"/>
      <c r="T50" s="240"/>
      <c r="U50" s="242"/>
      <c r="V50" s="325">
        <v>0.56000000000000005</v>
      </c>
      <c r="W50" s="232"/>
      <c r="X50" s="232"/>
      <c r="Y50" s="232"/>
      <c r="Z50" s="240"/>
      <c r="AA50" s="242"/>
      <c r="AB50" s="242"/>
      <c r="AC50" s="247" t="s">
        <v>166</v>
      </c>
      <c r="AD50" s="242"/>
      <c r="AE50" s="242"/>
      <c r="AF50" s="242"/>
      <c r="AG50" s="439">
        <f>IF(E49=0," ",((V50*E49)/(E49-AG49)))</f>
        <v>0.61894736842105269</v>
      </c>
      <c r="AH50" s="439"/>
      <c r="AI50" s="232"/>
      <c r="AJ50" s="232"/>
      <c r="AK50" s="232"/>
      <c r="AL50" s="232"/>
      <c r="AM50" s="232"/>
      <c r="AN50" s="232"/>
      <c r="AO50" s="240"/>
      <c r="AP50" s="242"/>
      <c r="AQ50" s="232"/>
      <c r="AR50" s="240" t="s">
        <v>167</v>
      </c>
      <c r="AS50" s="242"/>
      <c r="AT50" s="242"/>
      <c r="AU50" s="240"/>
      <c r="AV50" s="248" t="str">
        <f>VLOOKUP(AV49,$AZ$17:$BB$22,3)</f>
        <v>C</v>
      </c>
      <c r="AW50" s="249"/>
      <c r="AY50" s="313"/>
    </row>
    <row r="51" spans="1:58" ht="15.75" thickBot="1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</row>
    <row r="52" spans="1:58">
      <c r="A52" s="440" t="s">
        <v>168</v>
      </c>
      <c r="B52" s="442" t="s">
        <v>169</v>
      </c>
      <c r="C52" s="444" t="s">
        <v>170</v>
      </c>
      <c r="D52" s="445"/>
      <c r="E52" s="445"/>
      <c r="F52" s="445"/>
      <c r="G52" s="446"/>
      <c r="H52" s="447" t="s">
        <v>171</v>
      </c>
      <c r="I52" s="434" t="s">
        <v>172</v>
      </c>
      <c r="J52" s="434" t="s">
        <v>173</v>
      </c>
      <c r="K52" s="434" t="s">
        <v>174</v>
      </c>
      <c r="L52" s="434" t="s">
        <v>175</v>
      </c>
      <c r="M52" s="434" t="s">
        <v>176</v>
      </c>
      <c r="N52" s="434" t="s">
        <v>177</v>
      </c>
      <c r="O52" s="434" t="s">
        <v>178</v>
      </c>
      <c r="P52" s="434" t="s">
        <v>179</v>
      </c>
      <c r="Q52" s="434" t="s">
        <v>180</v>
      </c>
      <c r="R52" s="434" t="s">
        <v>181</v>
      </c>
      <c r="S52" s="434" t="s">
        <v>182</v>
      </c>
      <c r="T52" s="434" t="s">
        <v>183</v>
      </c>
      <c r="U52" s="434" t="s">
        <v>184</v>
      </c>
      <c r="V52" s="434" t="s">
        <v>185</v>
      </c>
      <c r="W52" s="250" t="s">
        <v>186</v>
      </c>
      <c r="X52" s="251"/>
      <c r="Y52" s="251"/>
      <c r="Z52" s="251"/>
      <c r="AA52" s="251"/>
      <c r="AB52" s="251"/>
      <c r="AC52" s="251"/>
      <c r="AD52" s="252"/>
      <c r="AE52" s="434" t="s">
        <v>187</v>
      </c>
      <c r="AF52" s="434" t="s">
        <v>188</v>
      </c>
      <c r="AG52" s="434" t="s">
        <v>189</v>
      </c>
      <c r="AH52" s="434" t="s">
        <v>190</v>
      </c>
      <c r="AI52" s="434" t="s">
        <v>191</v>
      </c>
      <c r="AJ52" s="434" t="s">
        <v>192</v>
      </c>
      <c r="AK52" s="253" t="s">
        <v>193</v>
      </c>
      <c r="AL52" s="254"/>
      <c r="AM52" s="255"/>
      <c r="AN52" s="434" t="s">
        <v>194</v>
      </c>
      <c r="AO52" s="434" t="s">
        <v>195</v>
      </c>
      <c r="AP52" s="434" t="s">
        <v>196</v>
      </c>
      <c r="AQ52" s="434" t="s">
        <v>197</v>
      </c>
      <c r="AR52" s="434" t="s">
        <v>198</v>
      </c>
      <c r="AS52" s="434" t="s">
        <v>199</v>
      </c>
      <c r="AT52" s="434" t="s">
        <v>200</v>
      </c>
      <c r="AU52" s="434" t="s">
        <v>201</v>
      </c>
      <c r="AV52" s="432" t="s">
        <v>202</v>
      </c>
    </row>
    <row r="53" spans="1:58" ht="45.75" thickBot="1">
      <c r="A53" s="441"/>
      <c r="B53" s="443"/>
      <c r="C53" s="256" t="s">
        <v>203</v>
      </c>
      <c r="D53" s="257" t="s">
        <v>204</v>
      </c>
      <c r="E53" s="257" t="s">
        <v>205</v>
      </c>
      <c r="F53" s="257" t="s">
        <v>206</v>
      </c>
      <c r="G53" s="257" t="s">
        <v>207</v>
      </c>
      <c r="H53" s="448"/>
      <c r="I53" s="435"/>
      <c r="J53" s="435"/>
      <c r="K53" s="435"/>
      <c r="L53" s="435"/>
      <c r="M53" s="435"/>
      <c r="N53" s="435"/>
      <c r="O53" s="435"/>
      <c r="P53" s="435"/>
      <c r="Q53" s="435"/>
      <c r="R53" s="435"/>
      <c r="S53" s="435"/>
      <c r="T53" s="435"/>
      <c r="U53" s="435"/>
      <c r="V53" s="435"/>
      <c r="W53" s="258" t="s">
        <v>208</v>
      </c>
      <c r="X53" s="258" t="s">
        <v>209</v>
      </c>
      <c r="Y53" s="258" t="s">
        <v>210</v>
      </c>
      <c r="Z53" s="258" t="s">
        <v>211</v>
      </c>
      <c r="AA53" s="258" t="s">
        <v>212</v>
      </c>
      <c r="AB53" s="258" t="s">
        <v>213</v>
      </c>
      <c r="AC53" s="258" t="s">
        <v>214</v>
      </c>
      <c r="AD53" s="258" t="s">
        <v>215</v>
      </c>
      <c r="AE53" s="435"/>
      <c r="AF53" s="435"/>
      <c r="AG53" s="435"/>
      <c r="AH53" s="435"/>
      <c r="AI53" s="435"/>
      <c r="AJ53" s="435"/>
      <c r="AK53" s="258" t="s">
        <v>216</v>
      </c>
      <c r="AL53" s="258" t="s">
        <v>217</v>
      </c>
      <c r="AM53" s="258" t="s">
        <v>218</v>
      </c>
      <c r="AN53" s="435"/>
      <c r="AO53" s="435"/>
      <c r="AP53" s="435"/>
      <c r="AQ53" s="435"/>
      <c r="AR53" s="435"/>
      <c r="AS53" s="435"/>
      <c r="AT53" s="435"/>
      <c r="AU53" s="435"/>
      <c r="AV53" s="433"/>
    </row>
    <row r="54" spans="1:58" ht="15.75" thickTop="1">
      <c r="A54" s="331">
        <v>1</v>
      </c>
      <c r="B54" s="332">
        <v>2</v>
      </c>
      <c r="C54" s="335">
        <f>VLOOKUP('G-1'!AK7,'G-1'!AL10:AQ22,2,FALSE)</f>
        <v>24</v>
      </c>
      <c r="D54" s="336">
        <f>VLOOKUP('G-1'!AK7,'G-1'!AL10:AQ22,3,FALSE)</f>
        <v>40</v>
      </c>
      <c r="E54" s="336">
        <f>VLOOKUP('G-1'!AK7,'G-1'!AL10:AQ22,4,FALSE)</f>
        <v>0</v>
      </c>
      <c r="F54" s="336">
        <f>VLOOKUP('G-1'!AK7,'G-1'!AL10:AQ22,5,FALSE)</f>
        <v>2</v>
      </c>
      <c r="G54" s="260">
        <f>C54*0.5+D54+E54*2+F54*2.5</f>
        <v>57</v>
      </c>
      <c r="H54" s="339">
        <f>VLOOKUP('G-1'!AK7,'G-1'!AL10:AQ22,6,FALSE)</f>
        <v>17</v>
      </c>
      <c r="I54" s="261">
        <f>G54/(4*H54)</f>
        <v>0.83823529411764708</v>
      </c>
      <c r="J54" s="314">
        <f>G54/I54</f>
        <v>68</v>
      </c>
      <c r="K54" s="315">
        <v>1.1000000000000001</v>
      </c>
      <c r="L54" s="260">
        <f>(J54/B54)*K54</f>
        <v>37.400000000000006</v>
      </c>
      <c r="M54" s="260">
        <f>L54*B54</f>
        <v>74.800000000000011</v>
      </c>
      <c r="N54" s="259">
        <v>1714</v>
      </c>
      <c r="O54" s="262">
        <v>3.5</v>
      </c>
      <c r="P54" s="263">
        <f>(((E54*2)+(F54*2.5))/(G54))</f>
        <v>8.771929824561403E-2</v>
      </c>
      <c r="Q54" s="264">
        <f t="shared" ref="Q54:T57" si="3">Q36</f>
        <v>0</v>
      </c>
      <c r="R54" s="316">
        <f t="shared" si="3"/>
        <v>0</v>
      </c>
      <c r="S54" s="317">
        <f t="shared" si="3"/>
        <v>0</v>
      </c>
      <c r="T54" s="317" t="str">
        <f t="shared" si="3"/>
        <v>O.Z.</v>
      </c>
      <c r="U54" s="210">
        <f>+DIRECCIONALIDAD!J18</f>
        <v>20.689655172413794</v>
      </c>
      <c r="V54" s="210">
        <f>+DIRECCIONALIDAD!J16</f>
        <v>18.96551724137931</v>
      </c>
      <c r="W54" s="265">
        <v>1</v>
      </c>
      <c r="X54" s="265">
        <v>1</v>
      </c>
      <c r="Y54" s="265">
        <v>1</v>
      </c>
      <c r="Z54" s="265">
        <v>1</v>
      </c>
      <c r="AA54" s="265">
        <v>1</v>
      </c>
      <c r="AB54" s="265">
        <v>1</v>
      </c>
      <c r="AC54" s="265">
        <v>1</v>
      </c>
      <c r="AD54" s="265">
        <v>1</v>
      </c>
      <c r="AE54" s="260">
        <f>(+N54*W54*X54*Y54*Z54*AA54*AB54*AC54*AD54)*B54</f>
        <v>3428</v>
      </c>
      <c r="AF54" s="265">
        <f>+M54/AE54</f>
        <v>2.1820303383897319E-2</v>
      </c>
      <c r="AG54" s="267">
        <f>(3600/AE54)*B54</f>
        <v>2.1003500583430572</v>
      </c>
      <c r="AH54" s="332">
        <v>21</v>
      </c>
      <c r="AI54" s="268">
        <f>ROUND(L54/$E$31,0)</f>
        <v>1</v>
      </c>
      <c r="AJ54" s="268">
        <f>ROUND(+AH54/AG54,0)</f>
        <v>10</v>
      </c>
      <c r="AK54" s="268">
        <f>IF(AI54&gt;=AJ54,AI54-AJ54,0)</f>
        <v>0</v>
      </c>
      <c r="AL54" s="268">
        <f>AK54*$E$31</f>
        <v>0</v>
      </c>
      <c r="AM54" s="260">
        <f>+AL54*6</f>
        <v>0</v>
      </c>
      <c r="AN54" s="265">
        <f>+AH54/$E$30</f>
        <v>0.2</v>
      </c>
      <c r="AO54" s="260">
        <f>+AN54*AE54</f>
        <v>685.6</v>
      </c>
      <c r="AP54" s="265">
        <f>M54/AO54</f>
        <v>0.10910151691948659</v>
      </c>
      <c r="AQ54" s="265">
        <f>IF(AN54*AP54&gt;=1,0.38*$E$30*(((1-AN54)*(1-AN54))/(1-0.99)),0.38*$E$30*(((1-AN54)*(1-AN54))/(1-AN54*AP54)))</f>
        <v>26.105632828343079</v>
      </c>
      <c r="AR54" s="269">
        <f>VLOOKUP(AN54,$BD$17:$BF$22,3)</f>
        <v>0.98599999999999999</v>
      </c>
      <c r="AS54" s="265">
        <v>12</v>
      </c>
      <c r="AT54" s="270">
        <f>173*AP54^2*((AP54-1)+SQRT((AP54-1)^2+AS54*AP54/AO54))</f>
        <v>2.2056149952334849E-3</v>
      </c>
      <c r="AU54" s="271">
        <f>++(AQ54*AR54+AT54)</f>
        <v>25.742359583741511</v>
      </c>
      <c r="AV54" s="272" t="str">
        <f>VLOOKUP(AU54,$AZ$17:$BB$22,3)</f>
        <v>D</v>
      </c>
      <c r="AW54" s="273"/>
      <c r="AX54" s="274">
        <f t="shared" ref="AX54:AX61" si="4">+AU54*M54</f>
        <v>1925.5284968638653</v>
      </c>
      <c r="AY54" s="274"/>
      <c r="AZ54" s="275">
        <v>0</v>
      </c>
      <c r="BA54" s="275">
        <v>5</v>
      </c>
      <c r="BB54" s="276" t="s">
        <v>0</v>
      </c>
      <c r="BD54" s="277">
        <v>0</v>
      </c>
      <c r="BE54" s="236">
        <v>0.19</v>
      </c>
      <c r="BF54" s="278">
        <v>1</v>
      </c>
    </row>
    <row r="55" spans="1:58">
      <c r="A55" s="333">
        <v>2</v>
      </c>
      <c r="B55" s="334">
        <v>2</v>
      </c>
      <c r="C55" s="337">
        <f>VLOOKUP('G-2'!AK7,'G-2'!AL10:AQ22,2,FALSE)</f>
        <v>26</v>
      </c>
      <c r="D55" s="338">
        <f>VLOOKUP('G-2'!AK7,'G-2'!AL10:AQ22,3,FALSE)</f>
        <v>71</v>
      </c>
      <c r="E55" s="338">
        <f>VLOOKUP('G-2'!AK7,'G-2'!AL10:AQ22,4,FALSE)</f>
        <v>0</v>
      </c>
      <c r="F55" s="338">
        <f>VLOOKUP('G-2'!AK7,'G-2'!AL10:AQ22,5,FALSE)</f>
        <v>0</v>
      </c>
      <c r="G55" s="266">
        <f>C55*0.5+D55+E55*2+F55*2.5</f>
        <v>84</v>
      </c>
      <c r="H55" s="340">
        <f>VLOOKUP('G-2'!AK7,'G-2'!AL10:AQ22,6,FALSE)</f>
        <v>24</v>
      </c>
      <c r="I55" s="283">
        <f>G55/(4*H55)</f>
        <v>0.875</v>
      </c>
      <c r="J55" s="266">
        <f>G55/I55</f>
        <v>96</v>
      </c>
      <c r="K55" s="319">
        <v>1.1000000000000001</v>
      </c>
      <c r="L55" s="266">
        <f>(J55/B55)*K55</f>
        <v>52.800000000000004</v>
      </c>
      <c r="M55" s="266">
        <f>L55*B55</f>
        <v>105.60000000000001</v>
      </c>
      <c r="N55" s="282">
        <v>1600</v>
      </c>
      <c r="O55" s="283">
        <v>3.5</v>
      </c>
      <c r="P55" s="284">
        <f>(((E55*2)+(F55*2.5))/(G55))</f>
        <v>0</v>
      </c>
      <c r="Q55" s="285">
        <f t="shared" si="3"/>
        <v>0</v>
      </c>
      <c r="R55" s="320">
        <f t="shared" si="3"/>
        <v>0</v>
      </c>
      <c r="S55" s="286">
        <f t="shared" si="3"/>
        <v>0</v>
      </c>
      <c r="T55" s="286" t="str">
        <f t="shared" si="3"/>
        <v>O.Z.</v>
      </c>
      <c r="U55" s="211">
        <f>+DIRECCIONALIDAD!J27</f>
        <v>10.714285714285714</v>
      </c>
      <c r="V55" s="211">
        <f>+DIRECCIONALIDAD!J25</f>
        <v>21.428571428571427</v>
      </c>
      <c r="W55" s="267">
        <v>1</v>
      </c>
      <c r="X55" s="267">
        <v>1</v>
      </c>
      <c r="Y55" s="267">
        <v>1</v>
      </c>
      <c r="Z55" s="267">
        <v>1</v>
      </c>
      <c r="AA55" s="267">
        <v>1</v>
      </c>
      <c r="AB55" s="267">
        <v>1</v>
      </c>
      <c r="AC55" s="267">
        <v>1</v>
      </c>
      <c r="AD55" s="267">
        <v>1</v>
      </c>
      <c r="AE55" s="266">
        <f>(+N55*W55*X55*Y55*Z55*AA55*AB55*AC55*AD55)*B55</f>
        <v>3200</v>
      </c>
      <c r="AF55" s="267">
        <f>+M55/AE55</f>
        <v>3.3000000000000002E-2</v>
      </c>
      <c r="AG55" s="267">
        <f>(3600/AE55)*B55</f>
        <v>2.25</v>
      </c>
      <c r="AH55" s="334">
        <v>22</v>
      </c>
      <c r="AI55" s="287">
        <f>ROUND(L55/$E$31,0)</f>
        <v>2</v>
      </c>
      <c r="AJ55" s="287">
        <f>ROUND(+AH55/AG55,0)</f>
        <v>10</v>
      </c>
      <c r="AK55" s="287">
        <f>IF(AI55&gt;=AJ55,AI55-AJ55,0)</f>
        <v>0</v>
      </c>
      <c r="AL55" s="287">
        <f>AK55*$E$31</f>
        <v>0</v>
      </c>
      <c r="AM55" s="266">
        <f>+AL55*6</f>
        <v>0</v>
      </c>
      <c r="AN55" s="267">
        <f>+AH55/$E$30</f>
        <v>0.20952380952380953</v>
      </c>
      <c r="AO55" s="266">
        <f>+AN55*AE55</f>
        <v>670.47619047619048</v>
      </c>
      <c r="AP55" s="267">
        <f>M55/AO55</f>
        <v>0.1575</v>
      </c>
      <c r="AQ55" s="267">
        <f>IF(AN55*AP55&gt;=1,0.38*$E$30*(((1-AN55)*(1-AN55))/(1-0.99)),0.38*$E$30*(((1-AN55)*(1-AN55))/(1-AN55*AP55)))</f>
        <v>25.782439552863543</v>
      </c>
      <c r="AR55" s="288">
        <f>VLOOKUP(AN55,$BD$17:$BF$22,3)</f>
        <v>0.98599999999999999</v>
      </c>
      <c r="AS55" s="267">
        <v>12</v>
      </c>
      <c r="AT55" s="289">
        <f>173*AP55^2*((AP55-1)+SQRT((AP55-1)^2+AS55*AP55/AO55))</f>
        <v>7.1722466232634124E-3</v>
      </c>
      <c r="AU55" s="290">
        <f>++(AQ55*AR55+AT55)</f>
        <v>25.428657645746718</v>
      </c>
      <c r="AV55" s="291" t="str">
        <f>VLOOKUP(AU55,$AZ$17:$BB$22,3)</f>
        <v>D</v>
      </c>
      <c r="AW55" s="273"/>
      <c r="AX55" s="274">
        <f t="shared" si="4"/>
        <v>2685.2662473908536</v>
      </c>
      <c r="AY55" s="274"/>
      <c r="AZ55" s="275">
        <v>5.0010000000000003</v>
      </c>
      <c r="BA55" s="275">
        <v>15</v>
      </c>
      <c r="BB55" s="276" t="s">
        <v>2</v>
      </c>
      <c r="BD55" s="277">
        <v>0.2</v>
      </c>
      <c r="BE55" s="236">
        <v>0.28999999999999998</v>
      </c>
      <c r="BF55" s="278">
        <v>0.98599999999999999</v>
      </c>
    </row>
    <row r="56" spans="1:58">
      <c r="A56" s="333">
        <v>3</v>
      </c>
      <c r="B56" s="334">
        <v>2</v>
      </c>
      <c r="C56" s="337">
        <f>VLOOKUP('G-3'!AK7,'G-3'!AL10:AQ22,2,FALSE)</f>
        <v>8</v>
      </c>
      <c r="D56" s="338">
        <f>VLOOKUP('G-3'!AK7,'G-3'!AL10:AQ22,3,FALSE)</f>
        <v>22</v>
      </c>
      <c r="E56" s="338">
        <f>VLOOKUP('G-3'!AK7,'G-3'!AL10:AQ22,4,FALSE)</f>
        <v>0</v>
      </c>
      <c r="F56" s="338">
        <f>VLOOKUP('G-3'!AK7,'G-3'!AL10:AQ22,5,FALSE)</f>
        <v>0</v>
      </c>
      <c r="G56" s="266">
        <f>C56*0.5+D56+E56*2+F56*2.5</f>
        <v>26</v>
      </c>
      <c r="H56" s="340">
        <f>VLOOKUP('G-3'!AK7,'G-3'!AL10:AQ22,6,FALSE)</f>
        <v>9</v>
      </c>
      <c r="I56" s="283">
        <f>G56/(4*H56)</f>
        <v>0.72222222222222221</v>
      </c>
      <c r="J56" s="266">
        <f>G56/I56</f>
        <v>36</v>
      </c>
      <c r="K56" s="319">
        <v>1.1000000000000001</v>
      </c>
      <c r="L56" s="266">
        <f>(J56/B56)*K56</f>
        <v>19.8</v>
      </c>
      <c r="M56" s="266">
        <f>L56*B56</f>
        <v>39.6</v>
      </c>
      <c r="N56" s="282">
        <v>1636</v>
      </c>
      <c r="O56" s="283">
        <v>3.5</v>
      </c>
      <c r="P56" s="284">
        <f>(((E56*2)+(F56*2.5))/(G56))</f>
        <v>0</v>
      </c>
      <c r="Q56" s="285">
        <f t="shared" si="3"/>
        <v>0</v>
      </c>
      <c r="R56" s="320">
        <f t="shared" si="3"/>
        <v>0</v>
      </c>
      <c r="S56" s="286">
        <f t="shared" si="3"/>
        <v>0</v>
      </c>
      <c r="T56" s="286" t="str">
        <f t="shared" si="3"/>
        <v>O.Z.</v>
      </c>
      <c r="U56" s="211">
        <f>+DIRECCIONALIDAD!J36</f>
        <v>23.809523809523807</v>
      </c>
      <c r="V56" s="211" t="str">
        <f>+DIRECCIONALIDAD!J34</f>
        <v>0,00</v>
      </c>
      <c r="W56" s="267">
        <v>1</v>
      </c>
      <c r="X56" s="267">
        <v>1</v>
      </c>
      <c r="Y56" s="267">
        <v>1</v>
      </c>
      <c r="Z56" s="267">
        <v>1</v>
      </c>
      <c r="AA56" s="267">
        <v>1</v>
      </c>
      <c r="AB56" s="267">
        <v>1</v>
      </c>
      <c r="AC56" s="267">
        <v>1</v>
      </c>
      <c r="AD56" s="267">
        <v>1</v>
      </c>
      <c r="AE56" s="266">
        <f>(+N56*W56*X56*Y56*Z56*AA56*AB56*AC56*AD56)*B56</f>
        <v>3272</v>
      </c>
      <c r="AF56" s="267">
        <f>+M56/AE56</f>
        <v>1.2102689486552567E-2</v>
      </c>
      <c r="AG56" s="267">
        <f>(3600/AE56)*B56</f>
        <v>2.2004889975550124</v>
      </c>
      <c r="AH56" s="334">
        <v>43</v>
      </c>
      <c r="AI56" s="287">
        <f>ROUND(L56/$E$31,0)</f>
        <v>1</v>
      </c>
      <c r="AJ56" s="287">
        <f>ROUND(+AH56/AG56,0)</f>
        <v>20</v>
      </c>
      <c r="AK56" s="287">
        <f>IF(AI56&gt;=AJ56,AI56-AJ56,0)</f>
        <v>0</v>
      </c>
      <c r="AL56" s="287">
        <f>AK56*$E$31</f>
        <v>0</v>
      </c>
      <c r="AM56" s="266">
        <f>+AL56*6</f>
        <v>0</v>
      </c>
      <c r="AN56" s="267">
        <f>+AH56/$E$30</f>
        <v>0.40952380952380951</v>
      </c>
      <c r="AO56" s="266">
        <f>+AN56*AE56</f>
        <v>1339.9619047619046</v>
      </c>
      <c r="AP56" s="267">
        <f>M56/AO56</f>
        <v>2.9553078978791156E-2</v>
      </c>
      <c r="AQ56" s="267">
        <f>IF(AN56*AP56&gt;=1,0.38*$E$30*(((1-AN56)*(1-AN56))/(1-0.99)),0.38*$E$30*(((1-AN56)*(1-AN56))/(1-AN56*AP56)))</f>
        <v>14.082049722747657</v>
      </c>
      <c r="AR56" s="288">
        <f>VLOOKUP(AN56,$BD$17:$BF$22,3)</f>
        <v>0.76700000000000002</v>
      </c>
      <c r="AS56" s="267">
        <v>12</v>
      </c>
      <c r="AT56" s="289">
        <f>173*AP56^2*((AP56-1)+SQRT((AP56-1)^2+AS56*AP56/AO56))</f>
        <v>2.0602067696557944E-5</v>
      </c>
      <c r="AU56" s="290">
        <f>++(AQ56*AR56+AT56)</f>
        <v>10.80095273941515</v>
      </c>
      <c r="AV56" s="291" t="str">
        <f>VLOOKUP(AU56,$AZ$17:$BB$22,3)</f>
        <v>B</v>
      </c>
      <c r="AW56" s="273"/>
      <c r="AX56" s="274">
        <f t="shared" si="4"/>
        <v>427.71772848083998</v>
      </c>
      <c r="AY56" s="274"/>
      <c r="AZ56" s="275">
        <v>15.000999999999999</v>
      </c>
      <c r="BA56" s="275">
        <v>25</v>
      </c>
      <c r="BB56" s="276" t="s">
        <v>3</v>
      </c>
      <c r="BD56" s="277">
        <v>0.3</v>
      </c>
      <c r="BE56" s="236">
        <v>0.39</v>
      </c>
      <c r="BF56" s="278">
        <v>0.89500000000000002</v>
      </c>
    </row>
    <row r="57" spans="1:58">
      <c r="A57" s="333">
        <v>4</v>
      </c>
      <c r="B57" s="334">
        <v>2</v>
      </c>
      <c r="C57" s="337">
        <f>VLOOKUP('G-4'!AK7,'G-4'!AL10:AQ22,2,FALSE)</f>
        <v>6</v>
      </c>
      <c r="D57" s="338">
        <f>VLOOKUP('G-4'!AK7,'G-4'!AL10:AQ22,3,FALSE)</f>
        <v>29</v>
      </c>
      <c r="E57" s="338">
        <f>VLOOKUP('G-4'!AK7,'G-4'!AL10:AQ22,4,FALSE)</f>
        <v>0</v>
      </c>
      <c r="F57" s="338">
        <f>VLOOKUP('G-4'!AK7,'G-4'!AL10:AQ22,5,FALSE)</f>
        <v>1</v>
      </c>
      <c r="G57" s="266">
        <f>C57*0.5+D57+E57*2+F57*2.5</f>
        <v>34.5</v>
      </c>
      <c r="H57" s="340">
        <f>VLOOKUP('G-4'!AK7,'G-4'!AL10:AQ22,6,FALSE)</f>
        <v>11</v>
      </c>
      <c r="I57" s="283">
        <f>G57/(4*H57)</f>
        <v>0.78409090909090906</v>
      </c>
      <c r="J57" s="266">
        <f>G57/I57</f>
        <v>44</v>
      </c>
      <c r="K57" s="319">
        <v>1.1000000000000001</v>
      </c>
      <c r="L57" s="266">
        <f>(J57/B57)*K57</f>
        <v>24.200000000000003</v>
      </c>
      <c r="M57" s="266">
        <f>L57*B57</f>
        <v>48.400000000000006</v>
      </c>
      <c r="N57" s="282">
        <v>1800</v>
      </c>
      <c r="O57" s="283">
        <v>3.5</v>
      </c>
      <c r="P57" s="284">
        <f>(((E57*2)+(F57*2.5))/(G57))</f>
        <v>7.2463768115942032E-2</v>
      </c>
      <c r="Q57" s="285">
        <f t="shared" si="3"/>
        <v>0</v>
      </c>
      <c r="R57" s="320">
        <f t="shared" si="3"/>
        <v>0</v>
      </c>
      <c r="S57" s="286">
        <f t="shared" si="3"/>
        <v>0</v>
      </c>
      <c r="T57" s="286">
        <f t="shared" si="3"/>
        <v>0</v>
      </c>
      <c r="U57" s="211">
        <f>+DIRECCIONALIDAD!J45</f>
        <v>19.047619047619047</v>
      </c>
      <c r="V57" s="211">
        <f>+DIRECCIONALIDAD!J43</f>
        <v>4.7619047619047619</v>
      </c>
      <c r="W57" s="267">
        <v>1</v>
      </c>
      <c r="X57" s="267">
        <v>1</v>
      </c>
      <c r="Y57" s="267">
        <v>1</v>
      </c>
      <c r="Z57" s="267">
        <v>1</v>
      </c>
      <c r="AA57" s="267">
        <v>1</v>
      </c>
      <c r="AB57" s="267">
        <v>1</v>
      </c>
      <c r="AC57" s="267">
        <v>1</v>
      </c>
      <c r="AD57" s="267">
        <v>1</v>
      </c>
      <c r="AE57" s="266">
        <f>(+N57*W57*X57*Y57*Z57*AA57*AB57*AC57*AD57)*B57</f>
        <v>3600</v>
      </c>
      <c r="AF57" s="267">
        <f>+M57/AE57</f>
        <v>1.3444444444444446E-2</v>
      </c>
      <c r="AG57" s="267">
        <f>(3600/AE57)*B57</f>
        <v>2</v>
      </c>
      <c r="AH57" s="334">
        <v>45</v>
      </c>
      <c r="AI57" s="287">
        <f>ROUND(L57/$E$31,0)</f>
        <v>1</v>
      </c>
      <c r="AJ57" s="287">
        <f>ROUND(+AH57/AG57,0)</f>
        <v>23</v>
      </c>
      <c r="AK57" s="287">
        <f>IF(AI57&gt;=AJ57,AI57-AJ57,0)</f>
        <v>0</v>
      </c>
      <c r="AL57" s="287">
        <f>AK57*$E$31</f>
        <v>0</v>
      </c>
      <c r="AM57" s="266">
        <f>+AL57*6</f>
        <v>0</v>
      </c>
      <c r="AN57" s="267">
        <f>+AH57/$E$30</f>
        <v>0.42857142857142855</v>
      </c>
      <c r="AO57" s="266">
        <f>+AN57*AE57</f>
        <v>1542.8571428571427</v>
      </c>
      <c r="AP57" s="267">
        <f>M57/AO57</f>
        <v>3.1370370370370375E-2</v>
      </c>
      <c r="AQ57" s="267">
        <f>IF(AN57*AP57&gt;=1,0.38*$E$30*(((1-AN57)*(1-AN57))/(1-0.99)),0.38*$E$30*(((1-AN57)*(1-AN57))/(1-AN57*AP57)))</f>
        <v>13.206120380351711</v>
      </c>
      <c r="AR57" s="288">
        <f>VLOOKUP(AN57,$BD$17:$BF$22,3)</f>
        <v>0.76700000000000002</v>
      </c>
      <c r="AS57" s="267">
        <v>12</v>
      </c>
      <c r="AT57" s="289">
        <f>173*AP57^2*((AP57-1)+SQRT((AP57-1)^2+AS57*AP57/AO57))</f>
        <v>2.144097818296571E-5</v>
      </c>
      <c r="AU57" s="290">
        <f>++(AQ57*AR57+AT57)</f>
        <v>10.129115772707944</v>
      </c>
      <c r="AV57" s="291" t="str">
        <f>VLOOKUP(AU57,$AZ$17:$BB$22,3)</f>
        <v>B</v>
      </c>
      <c r="AW57" s="273"/>
      <c r="AX57" s="274">
        <f t="shared" si="4"/>
        <v>490.24920339906458</v>
      </c>
      <c r="AY57" s="274"/>
      <c r="AZ57" s="275">
        <v>25.001000000000001</v>
      </c>
      <c r="BA57" s="275">
        <v>40</v>
      </c>
      <c r="BB57" s="276" t="s">
        <v>220</v>
      </c>
      <c r="BD57" s="277">
        <v>0.4</v>
      </c>
      <c r="BE57" s="236">
        <v>0.49</v>
      </c>
      <c r="BF57" s="278">
        <v>0.76700000000000002</v>
      </c>
    </row>
    <row r="58" spans="1:58">
      <c r="A58" s="280"/>
      <c r="B58" s="281"/>
      <c r="C58" s="318"/>
      <c r="D58" s="282"/>
      <c r="E58" s="282"/>
      <c r="F58" s="282"/>
      <c r="G58" s="266"/>
      <c r="H58" s="266"/>
      <c r="I58" s="283"/>
      <c r="J58" s="266"/>
      <c r="K58" s="319"/>
      <c r="L58" s="266"/>
      <c r="M58" s="266"/>
      <c r="N58" s="282"/>
      <c r="O58" s="283"/>
      <c r="P58" s="284"/>
      <c r="Q58" s="285"/>
      <c r="R58" s="320"/>
      <c r="S58" s="286"/>
      <c r="T58" s="286"/>
      <c r="U58" s="285"/>
      <c r="V58" s="285"/>
      <c r="W58" s="267"/>
      <c r="X58" s="267"/>
      <c r="Y58" s="267"/>
      <c r="Z58" s="267"/>
      <c r="AA58" s="267"/>
      <c r="AB58" s="267"/>
      <c r="AC58" s="267"/>
      <c r="AD58" s="267"/>
      <c r="AE58" s="266"/>
      <c r="AF58" s="267"/>
      <c r="AG58" s="267"/>
      <c r="AH58" s="281"/>
      <c r="AI58" s="287"/>
      <c r="AJ58" s="287"/>
      <c r="AK58" s="287"/>
      <c r="AL58" s="287"/>
      <c r="AM58" s="266"/>
      <c r="AN58" s="267"/>
      <c r="AO58" s="266"/>
      <c r="AP58" s="267"/>
      <c r="AQ58" s="267"/>
      <c r="AR58" s="288"/>
      <c r="AS58" s="267"/>
      <c r="AT58" s="289"/>
      <c r="AU58" s="290"/>
      <c r="AV58" s="291"/>
      <c r="AW58" s="273"/>
      <c r="AX58" s="274">
        <f>+AU58*M58</f>
        <v>0</v>
      </c>
      <c r="AY58" s="274"/>
      <c r="AZ58" s="275">
        <v>40.000999999999998</v>
      </c>
      <c r="BA58" s="275">
        <v>60</v>
      </c>
      <c r="BB58" s="276" t="s">
        <v>221</v>
      </c>
      <c r="BD58" s="277">
        <v>0.5</v>
      </c>
      <c r="BE58" s="236">
        <v>0.59</v>
      </c>
      <c r="BF58" s="278">
        <v>0.57599999999999996</v>
      </c>
    </row>
    <row r="59" spans="1:58">
      <c r="A59" s="321"/>
      <c r="B59" s="318"/>
      <c r="C59" s="318"/>
      <c r="D59" s="282"/>
      <c r="E59" s="282"/>
      <c r="F59" s="282"/>
      <c r="G59" s="266"/>
      <c r="H59" s="266"/>
      <c r="I59" s="283"/>
      <c r="J59" s="266"/>
      <c r="K59" s="319"/>
      <c r="L59" s="266"/>
      <c r="M59" s="266"/>
      <c r="N59" s="282"/>
      <c r="O59" s="319"/>
      <c r="P59" s="284"/>
      <c r="Q59" s="285"/>
      <c r="R59" s="320"/>
      <c r="S59" s="286"/>
      <c r="T59" s="286"/>
      <c r="U59" s="285"/>
      <c r="V59" s="285"/>
      <c r="W59" s="267"/>
      <c r="X59" s="267"/>
      <c r="Y59" s="267"/>
      <c r="Z59" s="267"/>
      <c r="AA59" s="267"/>
      <c r="AB59" s="267"/>
      <c r="AC59" s="267"/>
      <c r="AD59" s="267"/>
      <c r="AE59" s="266"/>
      <c r="AF59" s="267"/>
      <c r="AG59" s="267"/>
      <c r="AH59" s="281"/>
      <c r="AI59" s="287"/>
      <c r="AJ59" s="287"/>
      <c r="AK59" s="287"/>
      <c r="AL59" s="287"/>
      <c r="AM59" s="266"/>
      <c r="AN59" s="267"/>
      <c r="AO59" s="266"/>
      <c r="AP59" s="267"/>
      <c r="AQ59" s="267"/>
      <c r="AR59" s="288"/>
      <c r="AS59" s="267"/>
      <c r="AT59" s="289"/>
      <c r="AU59" s="290"/>
      <c r="AV59" s="291"/>
      <c r="AW59" s="273"/>
      <c r="AX59" s="274">
        <f t="shared" si="4"/>
        <v>0</v>
      </c>
      <c r="AY59" s="274"/>
      <c r="AZ59" s="275">
        <v>60.000999999999998</v>
      </c>
      <c r="BA59" s="275">
        <v>99999</v>
      </c>
      <c r="BB59" s="276" t="s">
        <v>222</v>
      </c>
      <c r="BD59" s="277">
        <v>0.6</v>
      </c>
      <c r="BE59" s="236">
        <v>9999999</v>
      </c>
      <c r="BF59" s="278">
        <v>0.25600000000000001</v>
      </c>
    </row>
    <row r="60" spans="1:58">
      <c r="A60" s="321"/>
      <c r="B60" s="318"/>
      <c r="C60" s="318"/>
      <c r="D60" s="282"/>
      <c r="E60" s="282"/>
      <c r="F60" s="282"/>
      <c r="G60" s="266"/>
      <c r="H60" s="266"/>
      <c r="I60" s="283"/>
      <c r="J60" s="266"/>
      <c r="K60" s="318"/>
      <c r="L60" s="266"/>
      <c r="M60" s="266"/>
      <c r="N60" s="282"/>
      <c r="O60" s="319"/>
      <c r="P60" s="284"/>
      <c r="Q60" s="285"/>
      <c r="R60" s="281"/>
      <c r="S60" s="286"/>
      <c r="T60" s="283"/>
      <c r="U60" s="285"/>
      <c r="V60" s="285"/>
      <c r="W60" s="267"/>
      <c r="X60" s="267"/>
      <c r="Y60" s="267"/>
      <c r="Z60" s="267"/>
      <c r="AA60" s="267"/>
      <c r="AB60" s="267"/>
      <c r="AC60" s="267"/>
      <c r="AD60" s="267"/>
      <c r="AE60" s="266"/>
      <c r="AF60" s="267"/>
      <c r="AG60" s="267"/>
      <c r="AH60" s="281"/>
      <c r="AI60" s="287"/>
      <c r="AJ60" s="287"/>
      <c r="AK60" s="287"/>
      <c r="AL60" s="287"/>
      <c r="AM60" s="266"/>
      <c r="AN60" s="267"/>
      <c r="AO60" s="266"/>
      <c r="AP60" s="267"/>
      <c r="AQ60" s="267"/>
      <c r="AR60" s="288"/>
      <c r="AS60" s="267"/>
      <c r="AT60" s="289"/>
      <c r="AU60" s="290"/>
      <c r="AV60" s="291"/>
      <c r="AW60" s="273"/>
      <c r="AX60" s="274">
        <f t="shared" si="4"/>
        <v>0</v>
      </c>
      <c r="AY60" s="274"/>
      <c r="AZ60" s="274"/>
      <c r="BA60" s="274"/>
      <c r="BB60" s="274"/>
      <c r="BC60" s="274"/>
      <c r="BD60" s="274"/>
      <c r="BE60" s="274"/>
      <c r="BF60" s="274"/>
    </row>
    <row r="61" spans="1:58" ht="15.75" thickBot="1">
      <c r="A61" s="322"/>
      <c r="B61" s="323"/>
      <c r="C61" s="323"/>
      <c r="D61" s="294"/>
      <c r="E61" s="294"/>
      <c r="F61" s="294"/>
      <c r="G61" s="295"/>
      <c r="H61" s="296"/>
      <c r="I61" s="297"/>
      <c r="J61" s="296"/>
      <c r="K61" s="323"/>
      <c r="L61" s="296"/>
      <c r="M61" s="296"/>
      <c r="N61" s="299"/>
      <c r="O61" s="324"/>
      <c r="P61" s="300"/>
      <c r="Q61" s="301"/>
      <c r="R61" s="293"/>
      <c r="S61" s="302"/>
      <c r="T61" s="298"/>
      <c r="U61" s="301"/>
      <c r="V61" s="301"/>
      <c r="W61" s="303"/>
      <c r="X61" s="303"/>
      <c r="Y61" s="303"/>
      <c r="Z61" s="304"/>
      <c r="AA61" s="304"/>
      <c r="AB61" s="303"/>
      <c r="AC61" s="303"/>
      <c r="AD61" s="303"/>
      <c r="AE61" s="296"/>
      <c r="AF61" s="303"/>
      <c r="AG61" s="303"/>
      <c r="AH61" s="293"/>
      <c r="AI61" s="305"/>
      <c r="AJ61" s="305"/>
      <c r="AK61" s="305"/>
      <c r="AL61" s="305"/>
      <c r="AM61" s="296"/>
      <c r="AN61" s="303"/>
      <c r="AO61" s="296"/>
      <c r="AP61" s="303"/>
      <c r="AQ61" s="303"/>
      <c r="AR61" s="306"/>
      <c r="AS61" s="303"/>
      <c r="AT61" s="307"/>
      <c r="AU61" s="308"/>
      <c r="AV61" s="309"/>
      <c r="AW61" s="273"/>
      <c r="AX61" s="274">
        <f t="shared" si="4"/>
        <v>0</v>
      </c>
      <c r="AY61" s="274"/>
      <c r="AZ61" s="274"/>
      <c r="BA61" s="274"/>
      <c r="BB61" s="274"/>
      <c r="BC61" s="274"/>
      <c r="BD61" s="274"/>
      <c r="BE61" s="274"/>
      <c r="BF61" s="274"/>
    </row>
    <row r="62" spans="1:58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X62" s="236">
        <f>SUM(AX54:AX61)</f>
        <v>5528.7616761346244</v>
      </c>
      <c r="AY62" s="237"/>
    </row>
    <row r="63" spans="1:58" ht="25.5">
      <c r="X63" s="239"/>
      <c r="Y63" s="239"/>
      <c r="Z63" s="239"/>
      <c r="AA63" s="239"/>
      <c r="AB63" s="239"/>
      <c r="AC63" s="239"/>
      <c r="AD63" s="239"/>
      <c r="AE63" s="239"/>
      <c r="AF63" s="239"/>
      <c r="AG63" s="239"/>
      <c r="AH63" s="239"/>
      <c r="AI63" s="239"/>
      <c r="AJ63" s="239"/>
      <c r="AK63" s="239"/>
      <c r="AX63" s="310">
        <f>SUM(M54:M61)</f>
        <v>268.40000000000003</v>
      </c>
      <c r="AY63" s="310"/>
    </row>
  </sheetData>
  <mergeCells count="124">
    <mergeCell ref="AS4:AT4"/>
    <mergeCell ref="D6:H6"/>
    <mergeCell ref="S7:W7"/>
    <mergeCell ref="AD7:AE7"/>
    <mergeCell ref="S9:W9"/>
    <mergeCell ref="AD9:AE9"/>
    <mergeCell ref="E12:F12"/>
    <mergeCell ref="R12:S12"/>
    <mergeCell ref="AG12:AH12"/>
    <mergeCell ref="E13:F13"/>
    <mergeCell ref="AG13:AH13"/>
    <mergeCell ref="A15:A16"/>
    <mergeCell ref="B15:B16"/>
    <mergeCell ref="C15:G15"/>
    <mergeCell ref="H15:H16"/>
    <mergeCell ref="I15:I16"/>
    <mergeCell ref="P15:P16"/>
    <mergeCell ref="Q15:Q16"/>
    <mergeCell ref="R15:R16"/>
    <mergeCell ref="S15:S16"/>
    <mergeCell ref="T15:T16"/>
    <mergeCell ref="U15:U16"/>
    <mergeCell ref="J15:J16"/>
    <mergeCell ref="K15:K16"/>
    <mergeCell ref="L15:L16"/>
    <mergeCell ref="M15:M16"/>
    <mergeCell ref="N15:N16"/>
    <mergeCell ref="O15:O16"/>
    <mergeCell ref="AS15:AS16"/>
    <mergeCell ref="AT15:AT16"/>
    <mergeCell ref="AU15:AU16"/>
    <mergeCell ref="AV15:AV16"/>
    <mergeCell ref="S27:W27"/>
    <mergeCell ref="AD27:AE27"/>
    <mergeCell ref="AJ15:AJ16"/>
    <mergeCell ref="AN15:AN16"/>
    <mergeCell ref="AO15:AO16"/>
    <mergeCell ref="AP15:AP16"/>
    <mergeCell ref="AQ15:AQ16"/>
    <mergeCell ref="AR15:AR16"/>
    <mergeCell ref="V15:V16"/>
    <mergeCell ref="AE15:AE16"/>
    <mergeCell ref="AF15:AF16"/>
    <mergeCell ref="AG15:AG16"/>
    <mergeCell ref="AH15:AH16"/>
    <mergeCell ref="AI15:AI16"/>
    <mergeCell ref="E30:F30"/>
    <mergeCell ref="R30:S30"/>
    <mergeCell ref="AG30:AH30"/>
    <mergeCell ref="E31:F31"/>
    <mergeCell ref="AG31:AH31"/>
    <mergeCell ref="A33:A34"/>
    <mergeCell ref="B33:B34"/>
    <mergeCell ref="C33:G33"/>
    <mergeCell ref="H33:H34"/>
    <mergeCell ref="I33:I34"/>
    <mergeCell ref="Q33:Q34"/>
    <mergeCell ref="R33:R34"/>
    <mergeCell ref="S33:S34"/>
    <mergeCell ref="T33:T34"/>
    <mergeCell ref="U33:U34"/>
    <mergeCell ref="J33:J34"/>
    <mergeCell ref="K33:K34"/>
    <mergeCell ref="L33:L34"/>
    <mergeCell ref="M33:M34"/>
    <mergeCell ref="N33:N34"/>
    <mergeCell ref="O33:O34"/>
    <mergeCell ref="A52:A53"/>
    <mergeCell ref="B52:B53"/>
    <mergeCell ref="C52:G52"/>
    <mergeCell ref="H52:H53"/>
    <mergeCell ref="I52:I53"/>
    <mergeCell ref="AS33:AS34"/>
    <mergeCell ref="AT33:AT34"/>
    <mergeCell ref="AU33:AU34"/>
    <mergeCell ref="AV33:AV34"/>
    <mergeCell ref="S46:W46"/>
    <mergeCell ref="AD46:AE46"/>
    <mergeCell ref="AJ33:AJ34"/>
    <mergeCell ref="AN33:AN34"/>
    <mergeCell ref="AO33:AO34"/>
    <mergeCell ref="AP33:AP34"/>
    <mergeCell ref="AQ33:AQ34"/>
    <mergeCell ref="AR33:AR34"/>
    <mergeCell ref="V33:V34"/>
    <mergeCell ref="AE33:AE34"/>
    <mergeCell ref="AF33:AF34"/>
    <mergeCell ref="AG33:AG34"/>
    <mergeCell ref="AH33:AH34"/>
    <mergeCell ref="AI33:AI34"/>
    <mergeCell ref="P33:P34"/>
    <mergeCell ref="J52:J53"/>
    <mergeCell ref="K52:K53"/>
    <mergeCell ref="L52:L53"/>
    <mergeCell ref="M52:M53"/>
    <mergeCell ref="N52:N53"/>
    <mergeCell ref="O52:O53"/>
    <mergeCell ref="AU52:AU53"/>
    <mergeCell ref="E49:F49"/>
    <mergeCell ref="R49:S49"/>
    <mergeCell ref="AG49:AH49"/>
    <mergeCell ref="E50:F50"/>
    <mergeCell ref="AG50:AH50"/>
    <mergeCell ref="V52:V53"/>
    <mergeCell ref="AE52:AE53"/>
    <mergeCell ref="AF52:AF53"/>
    <mergeCell ref="AG52:AG53"/>
    <mergeCell ref="AH52:AH53"/>
    <mergeCell ref="P52:P53"/>
    <mergeCell ref="Q52:Q53"/>
    <mergeCell ref="R52:R53"/>
    <mergeCell ref="S52:S53"/>
    <mergeCell ref="T52:T53"/>
    <mergeCell ref="U52:U53"/>
    <mergeCell ref="AV52:AV53"/>
    <mergeCell ref="AJ52:AJ53"/>
    <mergeCell ref="AN52:AN53"/>
    <mergeCell ref="AO52:AO53"/>
    <mergeCell ref="AP52:AP53"/>
    <mergeCell ref="AQ52:AQ53"/>
    <mergeCell ref="AR52:AR53"/>
    <mergeCell ref="AI52:AI53"/>
    <mergeCell ref="AS52:AS53"/>
    <mergeCell ref="AT52:AT53"/>
  </mergeCells>
  <pageMargins left="0.27" right="0.28999999999999998" top="0.74803149606299213" bottom="0.74803149606299213" header="0.31496062992125984" footer="0.31496062992125984"/>
  <pageSetup paperSize="9" scale="45" orientation="landscape" horizontalDpi="200" verticalDpi="200" r:id="rId1"/>
  <ignoredErrors>
    <ignoredError sqref="AC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C. Capacidad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2015-04-29T16:38:51Z</cp:lastPrinted>
  <dcterms:created xsi:type="dcterms:W3CDTF">1998-04-02T13:38:56Z</dcterms:created>
  <dcterms:modified xsi:type="dcterms:W3CDTF">2017-06-21T22:57:40Z</dcterms:modified>
</cp:coreProperties>
</file>